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66925"/>
  <mc:AlternateContent xmlns:mc="http://schemas.openxmlformats.org/markup-compatibility/2006">
    <mc:Choice Requires="x15">
      <x15ac:absPath xmlns:x15ac="http://schemas.microsoft.com/office/spreadsheetml/2010/11/ac" url="C:\Users\PC\Desktop\PAIE 2026\MALADIE MATERNITE AT\"/>
    </mc:Choice>
  </mc:AlternateContent>
  <xr:revisionPtr revIDLastSave="0" documentId="13_ncr:1_{AB02B015-6C8D-4C58-97E2-B1B88CBC5246}" xr6:coauthVersionLast="47" xr6:coauthVersionMax="47" xr10:uidLastSave="{00000000-0000-0000-0000-000000000000}"/>
  <bookViews>
    <workbookView xWindow="-120" yWindow="-120" windowWidth="20730" windowHeight="11040" firstSheet="2" activeTab="3" xr2:uid="{00000000-000D-0000-FFFF-FFFF00000000}"/>
  </bookViews>
  <sheets>
    <sheet name="MASQUE DE SAISIE " sheetId="55" r:id="rId1"/>
    <sheet name="TABLE DES TAUX 2026" sheetId="50" r:id="rId2"/>
    <sheet name="BP VERSION JANVIER 2023" sheetId="31" r:id="rId3"/>
    <sheet name="MATRICE RGDU 1 " sheetId="69" r:id="rId4"/>
    <sheet name="ENONCE " sheetId="67" r:id="rId5"/>
    <sheet name="BP FORMAT JUILLET 2023" sheetId="51" r:id="rId6"/>
    <sheet name="MATRICE RGDU 2" sheetId="68" r:id="rId7"/>
    <sheet name="HEURES SUPPLEMENTAIRES " sheetId="33" r:id="rId8"/>
    <sheet name="TAUX NEUTRE " sheetId="24" r:id="rId9"/>
    <sheet name="calcul HEURES SUPP" sheetId="57" r:id="rId10"/>
  </sheets>
  <externalReferences>
    <externalReference r:id="rId11"/>
    <externalReference r:id="rId12"/>
  </externalReferences>
  <definedNames>
    <definedName name="TABLE2019">#REF!</definedName>
    <definedName name="TABLE201NN">#REF!</definedName>
    <definedName name="TABLE20NN">#REF!</definedName>
    <definedName name="TABLETAUX">#REF!</definedName>
    <definedName name="TABLETAUX2026">'TABLE DES TAUX 2026'!$A$1:$F$87</definedName>
    <definedName name="TAUX2023">'TABLE DES TAUX 2026'!$A$1:$D$58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4" i="69" l="1"/>
  <c r="C44" i="68"/>
  <c r="E20" i="68"/>
  <c r="C43" i="69"/>
  <c r="C45" i="69" s="1"/>
  <c r="C42" i="69"/>
  <c r="H11" i="24"/>
  <c r="E50" i="24"/>
  <c r="E49" i="24"/>
  <c r="E48" i="24"/>
  <c r="E47" i="24"/>
  <c r="E46" i="24"/>
  <c r="E45" i="24"/>
  <c r="E44" i="24"/>
  <c r="E43" i="24"/>
  <c r="E42" i="24"/>
  <c r="E41" i="24"/>
  <c r="E40" i="24"/>
  <c r="E39" i="24"/>
  <c r="E38" i="24"/>
  <c r="E37" i="24"/>
  <c r="E36" i="24"/>
  <c r="E35" i="24"/>
  <c r="E34" i="24"/>
  <c r="E33" i="24"/>
  <c r="E32" i="24"/>
  <c r="E31" i="24"/>
  <c r="E51" i="24" s="1"/>
  <c r="B26" i="24"/>
  <c r="B25" i="24"/>
  <c r="B24" i="24"/>
  <c r="B23" i="24"/>
  <c r="B22" i="24"/>
  <c r="B21" i="24"/>
  <c r="B20" i="24"/>
  <c r="B19" i="24"/>
  <c r="B18" i="24"/>
  <c r="B17" i="24"/>
  <c r="B16" i="24"/>
  <c r="B15" i="24"/>
  <c r="B14" i="24"/>
  <c r="B13" i="24"/>
  <c r="B12" i="24"/>
  <c r="B11" i="24"/>
  <c r="B10" i="24"/>
  <c r="B9" i="24"/>
  <c r="B8" i="24"/>
  <c r="E25" i="24" l="1"/>
  <c r="E23" i="24"/>
  <c r="E21" i="24"/>
  <c r="E19" i="24"/>
  <c r="E17" i="24"/>
  <c r="E15" i="24"/>
  <c r="E13" i="24"/>
  <c r="E10" i="24"/>
  <c r="E8" i="24"/>
  <c r="E11" i="24"/>
  <c r="E9" i="24"/>
  <c r="E7" i="24"/>
  <c r="E12" i="24"/>
  <c r="E26" i="24"/>
  <c r="E24" i="24"/>
  <c r="E22" i="24"/>
  <c r="E20" i="24"/>
  <c r="E18" i="24"/>
  <c r="E16" i="24"/>
  <c r="E14" i="24"/>
  <c r="E27" i="24" l="1"/>
  <c r="H12" i="24" s="1"/>
  <c r="E20" i="69" l="1"/>
  <c r="E23" i="68"/>
  <c r="E22" i="68"/>
  <c r="E23" i="69"/>
  <c r="E22" i="69"/>
  <c r="E81" i="51"/>
  <c r="E82" i="51"/>
  <c r="E58" i="31"/>
  <c r="E79" i="50"/>
  <c r="D79" i="50"/>
  <c r="E73" i="50"/>
  <c r="D73" i="50"/>
  <c r="C73" i="50"/>
  <c r="B73" i="50"/>
  <c r="E60" i="50"/>
  <c r="C60" i="50"/>
  <c r="E57" i="50"/>
  <c r="C57" i="50"/>
  <c r="G8" i="51" l="1"/>
  <c r="F74" i="67"/>
  <c r="G81" i="51"/>
  <c r="E43" i="55"/>
  <c r="E44" i="55"/>
  <c r="E52" i="31" l="1"/>
  <c r="D52" i="31"/>
  <c r="E51" i="31"/>
  <c r="D51" i="31"/>
  <c r="E50" i="55"/>
  <c r="F16" i="57"/>
  <c r="F13" i="57"/>
  <c r="F12" i="57"/>
  <c r="F15" i="57" s="1"/>
  <c r="F11" i="57"/>
  <c r="D8" i="57"/>
  <c r="H20" i="57" l="1"/>
  <c r="H19" i="57"/>
  <c r="H22" i="57" s="1"/>
  <c r="H18" i="57"/>
  <c r="H21" i="57" s="1"/>
  <c r="F75" i="67" l="1"/>
  <c r="E79" i="51" l="1"/>
  <c r="H13" i="55"/>
  <c r="G13" i="55"/>
  <c r="H12" i="55"/>
  <c r="G12" i="55"/>
  <c r="E44" i="31"/>
  <c r="G9" i="55"/>
  <c r="H21" i="55"/>
  <c r="H22" i="55"/>
  <c r="D109" i="31" l="1"/>
  <c r="B10" i="51"/>
  <c r="E24" i="68" s="1"/>
  <c r="C37" i="68" s="1"/>
  <c r="B10" i="31"/>
  <c r="E24" i="69" s="1"/>
  <c r="C37" i="69" s="1"/>
  <c r="J18" i="51"/>
  <c r="J15" i="51"/>
  <c r="J15" i="31"/>
  <c r="E41" i="55"/>
  <c r="I13" i="51" l="1"/>
  <c r="I13" i="31"/>
  <c r="I20" i="51"/>
  <c r="I19" i="51"/>
  <c r="J19" i="51" s="1"/>
  <c r="J18" i="31"/>
  <c r="I21" i="51" l="1"/>
  <c r="J20" i="51"/>
  <c r="I20" i="31"/>
  <c r="I19" i="31"/>
  <c r="J19" i="31" s="1"/>
  <c r="I22" i="51" l="1"/>
  <c r="J22" i="51" s="1"/>
  <c r="J21" i="51"/>
  <c r="I21" i="31"/>
  <c r="J20" i="31"/>
  <c r="I22" i="31" l="1"/>
  <c r="J22" i="31" s="1"/>
  <c r="J21" i="31"/>
  <c r="J33" i="31" l="1"/>
  <c r="C44" i="31" s="1"/>
  <c r="G44" i="31" s="1"/>
  <c r="E76" i="51"/>
  <c r="D76" i="51"/>
  <c r="E75" i="51"/>
  <c r="D75" i="51"/>
  <c r="E43" i="51"/>
  <c r="D43" i="51"/>
  <c r="E40" i="51"/>
  <c r="D40" i="51"/>
  <c r="E41" i="31"/>
  <c r="D41" i="31"/>
  <c r="E38" i="31"/>
  <c r="D38" i="31"/>
  <c r="E40" i="31"/>
  <c r="D40" i="31"/>
  <c r="E39" i="31"/>
  <c r="D39" i="31"/>
  <c r="E25" i="69" l="1"/>
  <c r="C38" i="69" s="1"/>
  <c r="C39" i="69" s="1"/>
  <c r="C40" i="69" s="1"/>
  <c r="C41" i="69" s="1"/>
  <c r="C33" i="31"/>
  <c r="E89" i="33"/>
  <c r="E88" i="33"/>
  <c r="D10" i="51"/>
  <c r="D10" i="31"/>
  <c r="E42" i="31"/>
  <c r="E43" i="31"/>
  <c r="D43" i="31"/>
  <c r="D78" i="51"/>
  <c r="D124" i="51"/>
  <c r="G11" i="31"/>
  <c r="J10" i="31"/>
  <c r="H10" i="31"/>
  <c r="J9" i="31"/>
  <c r="I9" i="31"/>
  <c r="B9" i="31"/>
  <c r="G8" i="31"/>
  <c r="G7" i="31"/>
  <c r="B7" i="31"/>
  <c r="G6" i="31"/>
  <c r="B6" i="31"/>
  <c r="G5" i="31"/>
  <c r="G4" i="31"/>
  <c r="B4" i="31"/>
  <c r="G3" i="31"/>
  <c r="B3" i="31"/>
  <c r="E47" i="31"/>
  <c r="F75" i="31"/>
  <c r="G74" i="31"/>
  <c r="F74" i="31"/>
  <c r="E49" i="51"/>
  <c r="C33" i="51"/>
  <c r="C125" i="33" s="1"/>
  <c r="D129" i="33" s="1"/>
  <c r="G11" i="51"/>
  <c r="J10" i="51"/>
  <c r="H10" i="51"/>
  <c r="J9" i="51"/>
  <c r="I9" i="51"/>
  <c r="G7" i="51"/>
  <c r="G6" i="51"/>
  <c r="G5" i="51"/>
  <c r="G4" i="51"/>
  <c r="G3" i="51"/>
  <c r="E118" i="55"/>
  <c r="F118" i="55" s="1"/>
  <c r="E117" i="55"/>
  <c r="F117" i="55" s="1"/>
  <c r="C38" i="31" l="1"/>
  <c r="C41" i="31" s="1"/>
  <c r="C42" i="31"/>
  <c r="E21" i="69"/>
  <c r="C36" i="69" s="1"/>
  <c r="G71" i="31" s="1"/>
  <c r="C43" i="31"/>
  <c r="G43" i="31" l="1"/>
  <c r="C112" i="31" s="1"/>
  <c r="F43" i="31"/>
  <c r="J33" i="51"/>
  <c r="E25" i="68" l="1"/>
  <c r="C38" i="68" s="1"/>
  <c r="C39" i="68" s="1"/>
  <c r="C40" i="68" s="1"/>
  <c r="C41" i="68" s="1"/>
  <c r="C42" i="68" s="1"/>
  <c r="C43" i="68" s="1"/>
  <c r="C45" i="68" s="1"/>
  <c r="E53" i="51"/>
  <c r="E54" i="51"/>
  <c r="D54" i="51"/>
  <c r="D53" i="51"/>
  <c r="E85" i="33"/>
  <c r="B57" i="33"/>
  <c r="C78" i="51"/>
  <c r="G93" i="51"/>
  <c r="G78" i="51" l="1"/>
  <c r="C127" i="51" s="1"/>
  <c r="F78" i="51"/>
  <c r="G87" i="31"/>
  <c r="G89" i="31" s="1"/>
  <c r="E89" i="31"/>
  <c r="C39" i="31" l="1"/>
  <c r="B9" i="51"/>
  <c r="E21" i="68" s="1"/>
  <c r="C36" i="68" s="1"/>
  <c r="G71" i="51" s="1"/>
  <c r="B7" i="51"/>
  <c r="B6" i="51"/>
  <c r="B4" i="51"/>
  <c r="B3" i="51"/>
  <c r="E121" i="51"/>
  <c r="E90" i="33"/>
  <c r="D130" i="33" s="1"/>
  <c r="F44" i="33"/>
  <c r="F45" i="33"/>
  <c r="F46" i="33"/>
  <c r="F47" i="33"/>
  <c r="D107" i="31"/>
  <c r="D67" i="31"/>
  <c r="D70" i="31" s="1"/>
  <c r="D111" i="31"/>
  <c r="D112" i="31"/>
  <c r="E112" i="31" s="1"/>
  <c r="D113" i="31"/>
  <c r="D114" i="31"/>
  <c r="D115" i="31"/>
  <c r="D116" i="31"/>
  <c r="D117" i="31"/>
  <c r="D110" i="31"/>
  <c r="D108" i="31"/>
  <c r="C108" i="31"/>
  <c r="C117" i="31"/>
  <c r="D66" i="31"/>
  <c r="D68" i="31" s="1"/>
  <c r="D69" i="31" s="1"/>
  <c r="E63" i="31"/>
  <c r="D63" i="31"/>
  <c r="E61" i="31"/>
  <c r="E50" i="31"/>
  <c r="E49" i="31"/>
  <c r="D50" i="31"/>
  <c r="D49" i="31"/>
  <c r="E77" i="51"/>
  <c r="G95" i="51"/>
  <c r="E117" i="31" l="1"/>
  <c r="E108" i="31"/>
  <c r="C116" i="31"/>
  <c r="E116" i="31" s="1"/>
  <c r="B89" i="31" l="1"/>
  <c r="C89" i="31" s="1"/>
  <c r="F38" i="31"/>
  <c r="G38" i="31"/>
  <c r="C109" i="31"/>
  <c r="E109" i="31" s="1"/>
  <c r="C107" i="31"/>
  <c r="E107" i="31" s="1"/>
  <c r="C115" i="31"/>
  <c r="E115" i="31" s="1"/>
  <c r="C113" i="31"/>
  <c r="C110" i="31"/>
  <c r="E110" i="31" s="1"/>
  <c r="G39" i="51"/>
  <c r="G41" i="51"/>
  <c r="G42" i="51"/>
  <c r="G47" i="51"/>
  <c r="G48" i="51"/>
  <c r="G62" i="51"/>
  <c r="F39" i="51"/>
  <c r="F41" i="51"/>
  <c r="F42" i="51"/>
  <c r="F47" i="51"/>
  <c r="F48" i="51"/>
  <c r="F55" i="51"/>
  <c r="F56" i="51"/>
  <c r="F62" i="51"/>
  <c r="F71" i="51"/>
  <c r="D66" i="51"/>
  <c r="D67" i="51"/>
  <c r="D70" i="51" s="1"/>
  <c r="E63" i="51"/>
  <c r="D63" i="51"/>
  <c r="E61" i="51"/>
  <c r="D127" i="51"/>
  <c r="E127" i="51" s="1"/>
  <c r="D123" i="51"/>
  <c r="D125" i="51"/>
  <c r="D126" i="51"/>
  <c r="D128" i="51"/>
  <c r="D129" i="51"/>
  <c r="D130" i="51"/>
  <c r="D131" i="51"/>
  <c r="D132" i="51"/>
  <c r="D122" i="51"/>
  <c r="E58" i="51"/>
  <c r="E55" i="51"/>
  <c r="G55" i="51" s="1"/>
  <c r="E56" i="51"/>
  <c r="G56" i="51" s="1"/>
  <c r="E45" i="51"/>
  <c r="G45" i="51" s="1"/>
  <c r="E46" i="51"/>
  <c r="G46" i="51" s="1"/>
  <c r="E51" i="51"/>
  <c r="E52" i="51"/>
  <c r="E37" i="51"/>
  <c r="D69" i="51" l="1"/>
  <c r="D68" i="51"/>
  <c r="C114" i="31"/>
  <c r="E114" i="31" s="1"/>
  <c r="E113" i="31"/>
  <c r="D52" i="51"/>
  <c r="D41" i="33" s="1"/>
  <c r="D45" i="51"/>
  <c r="F45" i="51" s="1"/>
  <c r="D46" i="51"/>
  <c r="F46" i="51" s="1"/>
  <c r="D51" i="51"/>
  <c r="D40" i="33" s="1"/>
  <c r="C111" i="51"/>
  <c r="C102" i="51"/>
  <c r="P60" i="51"/>
  <c r="C123" i="51" l="1"/>
  <c r="E123" i="51" s="1"/>
  <c r="C132" i="51"/>
  <c r="E132" i="51" s="1"/>
  <c r="C57" i="33" l="1"/>
  <c r="C131" i="51"/>
  <c r="E131" i="51" s="1"/>
  <c r="E57" i="33" l="1"/>
  <c r="D42" i="33"/>
  <c r="C75" i="51"/>
  <c r="C79" i="51" s="1"/>
  <c r="G79" i="51" s="1"/>
  <c r="C40" i="51"/>
  <c r="C77" i="51"/>
  <c r="C61" i="51"/>
  <c r="C76" i="51"/>
  <c r="B95" i="51"/>
  <c r="C95" i="51" s="1"/>
  <c r="C49" i="51"/>
  <c r="G49" i="51" s="1"/>
  <c r="C128" i="51"/>
  <c r="C124" i="51"/>
  <c r="E124" i="51" s="1"/>
  <c r="C58" i="51"/>
  <c r="G58" i="51" s="1"/>
  <c r="C53" i="51"/>
  <c r="C52" i="51"/>
  <c r="E41" i="33" s="1"/>
  <c r="C51" i="51"/>
  <c r="C130" i="51"/>
  <c r="E130" i="51" s="1"/>
  <c r="C37" i="51"/>
  <c r="G37" i="51" s="1"/>
  <c r="C54" i="51"/>
  <c r="C43" i="51"/>
  <c r="C125" i="51"/>
  <c r="E125" i="51" s="1"/>
  <c r="C122" i="51"/>
  <c r="E122" i="51" s="1"/>
  <c r="D110" i="51"/>
  <c r="D101" i="51"/>
  <c r="G76" i="51" l="1"/>
  <c r="F76" i="51"/>
  <c r="G77" i="51"/>
  <c r="F77" i="51"/>
  <c r="E91" i="33"/>
  <c r="D131" i="33"/>
  <c r="G57" i="33"/>
  <c r="D132" i="33" s="1"/>
  <c r="G40" i="51"/>
  <c r="F40" i="51"/>
  <c r="C72" i="51"/>
  <c r="B94" i="51" s="1"/>
  <c r="C94" i="51" s="1"/>
  <c r="G43" i="51"/>
  <c r="F43" i="51"/>
  <c r="G54" i="51"/>
  <c r="F54" i="51"/>
  <c r="E40" i="33"/>
  <c r="F40" i="33" s="1"/>
  <c r="G51" i="51"/>
  <c r="F51" i="51"/>
  <c r="F41" i="33"/>
  <c r="G52" i="51"/>
  <c r="F52" i="51"/>
  <c r="E42" i="33"/>
  <c r="G53" i="51"/>
  <c r="F53" i="51"/>
  <c r="D43" i="33"/>
  <c r="C129" i="51"/>
  <c r="E129" i="51" s="1"/>
  <c r="E128" i="51"/>
  <c r="C63" i="51"/>
  <c r="G61" i="51"/>
  <c r="D102" i="51"/>
  <c r="D103" i="51" s="1"/>
  <c r="D111" i="51"/>
  <c r="E86" i="33" l="1"/>
  <c r="E87" i="33" s="1"/>
  <c r="F42" i="33"/>
  <c r="E43" i="33"/>
  <c r="F43" i="33" s="1"/>
  <c r="F141" i="33"/>
  <c r="C72" i="31" s="1"/>
  <c r="D133" i="33"/>
  <c r="E98" i="33"/>
  <c r="G63" i="51"/>
  <c r="F63" i="51"/>
  <c r="F49" i="33" l="1"/>
  <c r="F50" i="33" s="1"/>
  <c r="F137" i="33"/>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N88" i="33"/>
  <c r="N85" i="33" s="1"/>
  <c r="N114" i="33" s="1"/>
  <c r="M88" i="33"/>
  <c r="M85" i="33" s="1"/>
  <c r="M114" i="33" s="1"/>
  <c r="L88" i="33"/>
  <c r="L90" i="33" s="1"/>
  <c r="U85" i="33"/>
  <c r="T85" i="33"/>
  <c r="S85" i="33"/>
  <c r="R85" i="33"/>
  <c r="Q85" i="33"/>
  <c r="P85" i="33"/>
  <c r="O85" i="33"/>
  <c r="O114" i="33" s="1"/>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U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B65" i="33"/>
  <c r="K103" i="33"/>
  <c r="K105" i="33" s="1"/>
  <c r="S114" i="33" l="1"/>
  <c r="S120" i="33" s="1"/>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C111" i="31"/>
  <c r="C66" i="31"/>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3" i="31"/>
  <c r="G61" i="31"/>
  <c r="F61" i="31"/>
  <c r="F47" i="31"/>
  <c r="G47" i="31"/>
  <c r="F52" i="31"/>
  <c r="G52" i="31"/>
  <c r="E114" i="33"/>
  <c r="F51" i="31"/>
  <c r="G51" i="31"/>
  <c r="G49" i="31"/>
  <c r="F49" i="31"/>
  <c r="F36" i="31"/>
  <c r="G36" i="31"/>
  <c r="D122"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88" i="31" s="1"/>
  <c r="C88" i="31" s="1"/>
  <c r="C68" i="31"/>
  <c r="C70" i="51"/>
  <c r="F70" i="51" s="1"/>
  <c r="E96" i="33" s="1"/>
  <c r="F68" i="51"/>
  <c r="J86" i="51" s="1"/>
  <c r="G69" i="31"/>
  <c r="F69" i="31"/>
  <c r="D72" i="51" l="1"/>
  <c r="F72" i="51" s="1"/>
  <c r="E72" i="31"/>
  <c r="F72" i="31" s="1"/>
  <c r="C70" i="31"/>
  <c r="F68" i="31"/>
  <c r="E94" i="33" s="1"/>
  <c r="G68" i="31"/>
  <c r="F70" i="31" l="1"/>
  <c r="G70" i="31"/>
  <c r="G42" i="31" l="1"/>
  <c r="F42" i="31"/>
  <c r="F41" i="31"/>
  <c r="G41" i="31"/>
  <c r="E111" i="31" l="1"/>
  <c r="E118" i="31" l="1"/>
  <c r="G64" i="31" s="1"/>
  <c r="G73" i="31" l="1"/>
  <c r="J83" i="31" l="1"/>
  <c r="F75" i="51" l="1"/>
  <c r="G75" i="51"/>
  <c r="E99" i="33" l="1"/>
  <c r="D134" i="33" s="1"/>
  <c r="F136" i="33" s="1"/>
  <c r="C66" i="51" s="1"/>
  <c r="C67" i="51" s="1"/>
  <c r="C126" i="51"/>
  <c r="E126" i="51" s="1"/>
  <c r="E133" i="51" s="1"/>
  <c r="G64" i="51" s="1"/>
  <c r="G73" i="51" s="1"/>
  <c r="J91" i="51" s="1"/>
  <c r="F139" i="33" l="1"/>
  <c r="D106" i="51" l="1"/>
  <c r="D115" i="51"/>
  <c r="E113" i="51" s="1"/>
  <c r="F67" i="51"/>
  <c r="E93" i="33" s="1"/>
  <c r="F66" i="51"/>
  <c r="E92" i="33" l="1"/>
  <c r="F73" i="51"/>
  <c r="J85" i="51" l="1"/>
  <c r="D89" i="51" s="1"/>
  <c r="J84" i="51"/>
  <c r="F80" i="51"/>
  <c r="E97" i="33"/>
  <c r="E100" i="33" s="1"/>
  <c r="B96" i="51" l="1"/>
  <c r="C96" i="51" s="1"/>
  <c r="F66" i="31" l="1"/>
  <c r="C67" i="31"/>
  <c r="F67" i="31" s="1"/>
  <c r="D127" i="31"/>
  <c r="F125" i="31" s="1"/>
  <c r="J78" i="31" s="1"/>
  <c r="F89" i="51" l="1"/>
  <c r="H89" i="51" s="1"/>
  <c r="J90" i="51" s="1"/>
  <c r="F73" i="31"/>
  <c r="J85" i="31" s="1"/>
  <c r="J77" i="31" l="1"/>
  <c r="B90" i="31" s="1"/>
  <c r="C90" i="31" s="1"/>
  <c r="B93" i="51"/>
  <c r="C93" i="51" s="1"/>
  <c r="D82" i="31" l="1"/>
  <c r="H82" i="31" s="1"/>
  <c r="B87" i="31" s="1"/>
  <c r="C87" i="31" s="1"/>
  <c r="J84"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2DD395B-8992-4275-A439-C4E7F374962A}">
      <text>
        <r>
          <rPr>
            <sz val="9"/>
            <color indexed="81"/>
            <rFont val="Tahoma"/>
            <family val="2"/>
          </rPr>
          <t xml:space="preserve">Les infos que vous retrouvez à ce niveau sont répercutées automatiquement dans le BP 
</t>
        </r>
      </text>
    </comment>
    <comment ref="H18" authorId="0" shapeId="0" xr:uid="{99FC4061-31AB-4F7D-A4DC-E309F2BF5F7B}">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F17E608C-37E1-4764-B442-952F2BEAA731}">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563D443D-C524-47F5-8151-B53F79FB6827}">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E44" authorId="0" shapeId="0" xr:uid="{40887619-93CD-4719-9395-8E4E222A736E}">
      <text>
        <r>
          <rPr>
            <sz val="9"/>
            <color indexed="81"/>
            <rFont val="Tahoma"/>
            <family val="2"/>
          </rPr>
          <t xml:space="preserve">
Pour un forfait jour le nombre d'heures contractuelles n'est pas de 151,67; cependant  les limites de 2,5 SMIC, de 3,5 SMIC et de 1,6 SMIC sont calculées par référence à un smic de base calculé sur 151,67  et les heures contractuelles sont saisies pour 151,67 pour un forfait jour de 218j 
</t>
        </r>
      </text>
    </comment>
    <comment ref="E45" authorId="0" shapeId="0" xr:uid="{90DD01EF-3C66-446A-BB33-11D6F67B9184}">
      <text>
        <r>
          <rPr>
            <b/>
            <sz val="9"/>
            <color indexed="81"/>
            <rFont val="Tahoma"/>
            <family val="2"/>
          </rPr>
          <t>Bienvenue:</t>
        </r>
        <r>
          <rPr>
            <sz val="9"/>
            <color indexed="81"/>
            <rFont val="Tahoma"/>
            <family val="2"/>
          </rPr>
          <t xml:space="preserve">
Le PMSS est proratisé en jours calendaires d'absence (dans ce cas 2 jours calendaires d'absence) 
</t>
        </r>
      </text>
    </comment>
    <comment ref="E46" authorId="0" shapeId="0" xr:uid="{11C28024-214D-42B6-A087-1BFC8AFD37CC}">
      <text>
        <r>
          <rPr>
            <sz val="9"/>
            <color indexed="81"/>
            <rFont val="Tahoma"/>
            <family val="2"/>
          </rPr>
          <t xml:space="preserve">Le nombre d'heures supplémentaires est obtenu par le calcul 17,33 * Salaire brut du mois / Salaire brut habituel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E47" authorId="0" shapeId="0" xr:uid="{905DAEE7-7722-4BE8-B88B-13938EEE36C0}">
      <text>
        <r>
          <rPr>
            <sz val="9"/>
            <color indexed="81"/>
            <rFont val="Tahoma"/>
            <family val="2"/>
          </rPr>
          <t>Les heures URSSAF servent à calculer les limites applicables à certaines cotisations (2,5 SMIC 3,5 SMIC) 
et à la réduction Générale de Cotisations (1,6 SMIC)</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5" authorId="0" shapeId="0" xr:uid="{8F3C554D-0A2B-4D7B-8D0C-B2BB798A9F52}">
      <text>
        <r>
          <rPr>
            <sz val="9"/>
            <color indexed="81"/>
            <rFont val="Tahoma"/>
            <family val="2"/>
          </rPr>
          <t xml:space="preserve">Taux propre à chaque entreprise 
</t>
        </r>
      </text>
    </comment>
    <comment ref="A6" authorId="0" shapeId="0" xr:uid="{8FE8EE0F-E51F-4068-AFB5-B92B825F5D12}">
      <text>
        <r>
          <rPr>
            <sz val="9"/>
            <color indexed="81"/>
            <rFont val="Tahoma"/>
            <family val="2"/>
          </rPr>
          <t xml:space="preserve">Taux propre à chaque entreprise
</t>
        </r>
      </text>
    </comment>
    <comment ref="A8" authorId="0" shapeId="0" xr:uid="{C55AE4EF-3204-4FA1-8585-10B767055C2A}">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A26" authorId="0" shapeId="0" xr:uid="{8397868A-6851-4F69-B20B-E1AD60074BBD}">
      <text>
        <r>
          <rPr>
            <b/>
            <sz val="9"/>
            <color indexed="81"/>
            <rFont val="Tahoma"/>
            <family val="2"/>
          </rPr>
          <t xml:space="preserve"> </t>
        </r>
        <r>
          <rPr>
            <sz val="9"/>
            <color indexed="81"/>
            <rFont val="Tahoma"/>
            <family val="2"/>
          </rPr>
          <t xml:space="preserve">Effectif salariés &lt; 50 </t>
        </r>
      </text>
    </comment>
    <comment ref="A27" authorId="0" shapeId="0" xr:uid="{6B8C255D-570B-4574-A16A-CA1FA192A4EE}">
      <text>
        <r>
          <rPr>
            <sz val="9"/>
            <color indexed="81"/>
            <rFont val="Tahoma"/>
            <family val="2"/>
          </rPr>
          <t xml:space="preserve">
Effectif salariés &gt; = 50</t>
        </r>
      </text>
    </comment>
    <comment ref="A28" authorId="0" shapeId="0" xr:uid="{AFAD1612-3098-4D06-A9DA-401838473E71}">
      <text>
        <r>
          <rPr>
            <sz val="9"/>
            <color indexed="81"/>
            <rFont val="Tahoma"/>
            <family val="2"/>
          </rPr>
          <t xml:space="preserve">(Taux Variable) Applicable Si Effectif salariés &gt;= 11
</t>
        </r>
      </text>
    </comment>
    <comment ref="D28" authorId="0" shapeId="0" xr:uid="{1C3A10D2-C731-4722-8021-7308BBF891E2}">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A30" authorId="0" shapeId="0" xr:uid="{8A5D938C-CBE8-45A4-A442-F8B3CC2A5C71}">
      <text>
        <r>
          <rPr>
            <b/>
            <sz val="9"/>
            <color indexed="81"/>
            <rFont val="Tahoma"/>
            <family val="2"/>
          </rPr>
          <t xml:space="preserve"> </t>
        </r>
        <r>
          <rPr>
            <sz val="9"/>
            <color indexed="81"/>
            <rFont val="Tahoma"/>
            <family val="2"/>
          </rPr>
          <t>Si Effectif salariés &gt;= 11)</t>
        </r>
      </text>
    </comment>
    <comment ref="A34" authorId="0" shapeId="0" xr:uid="{66055064-AF1E-40FE-AD5F-57749657E137}">
      <text>
        <r>
          <rPr>
            <sz val="9"/>
            <color indexed="81"/>
            <rFont val="Tahoma"/>
            <family val="2"/>
          </rPr>
          <t>(Si Effectifs salariés &gt; = 11 )</t>
        </r>
      </text>
    </comment>
    <comment ref="A35" authorId="0" shapeId="0" xr:uid="{27CDFAFB-8C0B-4898-9E60-436F337C09BF}">
      <text>
        <r>
          <rPr>
            <sz val="9"/>
            <color indexed="81"/>
            <rFont val="Tahoma"/>
            <family val="2"/>
          </rPr>
          <t xml:space="preserve">(Si Effectifs salariés &lt; 11 )
</t>
        </r>
      </text>
    </comment>
    <comment ref="A36" authorId="0" shapeId="0" xr:uid="{4C09C9C3-588A-4C8F-A2B8-E58FC3F8F685}">
      <text>
        <r>
          <rPr>
            <b/>
            <sz val="9"/>
            <color indexed="81"/>
            <rFont val="Tahoma"/>
            <family val="2"/>
          </rPr>
          <t xml:space="preserve"> 
</t>
        </r>
        <r>
          <rPr>
            <sz val="9"/>
            <color indexed="81"/>
            <rFont val="Tahoma"/>
            <family val="2"/>
          </rPr>
          <t xml:space="preserve">Si Effectifs Salariés &gt;=50 salariés (1)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RGDU Éventuellement applicable est reprise à partir de la MATRICE RGDU1 
Par ailleurs lorsque l'entreprise a moins de 20 salariés une réduction de cotisations de 1,5 EUROS par heures supplémentaires est accordée - au-delà la réduction de cotisations est de 0,5 euros
</t>
        </r>
      </text>
    </comment>
    <comment ref="D82"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2" authorId="0" shapeId="0" xr:uid="{00000000-0006-0000-0500-000013000000}">
      <text>
        <r>
          <rPr>
            <sz val="9"/>
            <color indexed="81"/>
            <rFont val="Tahoma"/>
            <family val="2"/>
          </rPr>
          <t xml:space="preserve">Le taux du PAS est obtenu  dans la Feuille TAUX NEUTRE puis reporté manuellement ici.
</t>
        </r>
      </text>
    </comment>
    <comment ref="J84" authorId="0" shapeId="0" xr:uid="{00000000-0006-0000-0500-000015000000}">
      <text>
        <r>
          <rPr>
            <sz val="9"/>
            <color indexed="81"/>
            <rFont val="Tahoma"/>
            <family val="2"/>
          </rPr>
          <t xml:space="preserve">Net à payer avant impôt sur le revenu moins le Prélévement à la Source
</t>
        </r>
      </text>
    </comment>
    <comment ref="E118" authorId="0" shapeId="0" xr:uid="{00000000-0006-0000-0500-00001A000000}">
      <text>
        <r>
          <rPr>
            <sz val="9"/>
            <color indexed="81"/>
            <rFont val="Tahoma"/>
            <family val="2"/>
          </rPr>
          <t xml:space="preserve">Ce montant est reporté à la Ligne Autres Contributions de l'Employeur du BP 
Ligne 60
</t>
        </r>
      </text>
    </comment>
    <comment ref="C121"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D89" authorId="0" shapeId="0" xr:uid="{BE437FAD-31F2-4C7A-B519-1B424658380B}">
      <text>
        <r>
          <rPr>
            <sz val="9"/>
            <color indexed="81"/>
            <rFont val="Tahoma"/>
            <family val="2"/>
          </rPr>
          <t xml:space="preserve">La base du PAS n'est pas toujours égale au Net Imposable. Cf la correction pour une explication en présence d'IJSS AT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A2DDA7AB-4F21-4D4F-A2D8-50F3E8ED499A}">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11" authorId="0" shapeId="0" xr:uid="{ED9AA4E0-67F8-40F1-9410-9A1E90609FB3}">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F16" authorId="0" shapeId="0" xr:uid="{D771E486-F89B-4D15-97D6-ECBE90064881}">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sharedStrings.xml><?xml version="1.0" encoding="utf-8"?>
<sst xmlns="http://schemas.openxmlformats.org/spreadsheetml/2006/main" count="832" uniqueCount="491">
  <si>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</si>
  <si>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</si>
  <si>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</si>
  <si>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</si>
  <si>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</si>
  <si>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</si>
  <si>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</si>
  <si>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</si>
  <si>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</si>
  <si>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</si>
  <si>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</si>
  <si>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</si>
  <si>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</si>
  <si>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</si>
  <si>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</si>
  <si>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</si>
  <si>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</si>
  <si>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</si>
  <si>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</si>
  <si>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</si>
  <si>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</si>
  <si>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</si>
  <si>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</si>
  <si>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</si>
  <si>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</si>
  <si>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</si>
  <si>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</si>
  <si>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</si>
  <si>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</si>
  <si>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</si>
  <si>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</si>
  <si>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</si>
  <si>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</si>
  <si>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</si>
  <si>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</si>
  <si>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</si>
  <si>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</si>
  <si>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</si>
  <si>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</si>
  <si>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</si>
  <si>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</si>
  <si>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</si>
  <si>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</si>
  <si>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</si>
  <si>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</si>
  <si>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</si>
  <si>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</si>
  <si>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</si>
  <si>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</si>
  <si>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</si>
  <si>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</si>
  <si>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</si>
  <si>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</si>
  <si>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</si>
  <si>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</si>
  <si>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</si>
  <si>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</si>
  <si>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</si>
  <si>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</si>
  <si>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</si>
  <si>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</si>
  <si>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</si>
  <si>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</si>
  <si>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</si>
  <si>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</si>
  <si>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</si>
  <si>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</si>
  <si>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Libellé</t>
  </si>
  <si>
    <t>Cotisations 
salariales</t>
  </si>
  <si>
    <t>Cotisations 
patronales</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</si>
  <si>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</si>
  <si>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</si>
  <si>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</si>
  <si>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</si>
  <si>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</si>
  <si>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</si>
  <si>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</si>
  <si>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</si>
  <si>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</si>
  <si>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</si>
  <si>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</si>
  <si>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</si>
  <si>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</si>
  <si>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</si>
  <si>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</si>
  <si>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</si>
  <si>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</si>
  <si>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</si>
  <si>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</si>
  <si>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</si>
  <si>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</si>
  <si>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</si>
  <si>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</si>
  <si>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</si>
  <si>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</si>
  <si>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</si>
  <si>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</si>
  <si>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</si>
  <si>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</si>
  <si>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</si>
  <si>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</si>
  <si>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</si>
  <si>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</si>
  <si>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</si>
  <si>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</si>
  <si>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</si>
  <si>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</si>
  <si>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</si>
  <si>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</si>
  <si>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</si>
  <si>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</si>
  <si>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</si>
  <si>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</si>
  <si>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</si>
  <si>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</si>
  <si>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</si>
  <si>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</si>
  <si>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</si>
  <si>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</si>
  <si>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</si>
  <si>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</si>
  <si>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</si>
  <si>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</si>
  <si>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</si>
  <si>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</si>
  <si>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</si>
  <si>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</si>
  <si>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</si>
  <si>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</si>
  <si>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</si>
  <si>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</si>
  <si>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</si>
  <si>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</si>
  <si>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</si>
  <si>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</si>
  <si>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</si>
  <si>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</si>
  <si>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</si>
  <si>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</si>
  <si>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</si>
  <si>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</si>
  <si>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</si>
  <si>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</si>
  <si>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</si>
  <si>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</si>
  <si>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</si>
  <si>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</si>
  <si>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</si>
  <si>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</si>
  <si>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</si>
  <si>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</si>
  <si>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</si>
  <si>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</si>
  <si>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</si>
  <si>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</si>
  <si>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</si>
  <si>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</si>
  <si>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</si>
  <si>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</si>
  <si>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</si>
  <si>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</si>
  <si>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</si>
  <si>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</si>
  <si>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</si>
  <si>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</si>
  <si>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</si>
  <si>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</si>
  <si>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</si>
  <si>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</si>
  <si>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</si>
  <si>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</si>
  <si>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</si>
  <si>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</si>
  <si>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</si>
  <si>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</si>
  <si>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</si>
  <si>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</si>
  <si>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</si>
  <si>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</si>
  <si>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</si>
  <si>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</si>
  <si>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</si>
  <si>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</si>
  <si>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</si>
  <si>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</si>
  <si>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</si>
  <si>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</si>
  <si>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</si>
  <si>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</si>
  <si>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</si>
  <si>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</si>
  <si>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</si>
  <si>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</si>
  <si>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</si>
  <si>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Mutuelle Cadres </t>
  </si>
  <si>
    <t>Mars MARTINO</t>
  </si>
  <si>
    <t xml:space="preserve">Salarié X </t>
  </si>
  <si>
    <t>Salarié Y</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</si>
  <si>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</si>
  <si>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</si>
  <si>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</si>
  <si>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</si>
  <si>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</si>
  <si>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</si>
  <si>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</si>
  <si>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</si>
  <si>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</si>
  <si>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</si>
  <si>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</si>
  <si>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</si>
  <si>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</si>
  <si>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</si>
  <si>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</si>
  <si>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</si>
  <si>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</si>
  <si>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</si>
  <si>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</si>
  <si>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</si>
  <si>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</si>
  <si>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</si>
  <si>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</si>
  <si>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</si>
  <si>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</si>
  <si>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</si>
  <si>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</si>
  <si>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</si>
  <si>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</si>
  <si>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</si>
  <si>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</si>
  <si>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</si>
  <si>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</si>
  <si>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 xml:space="preserve">Primes entrant dans la base de calcul des heures supplémentaires et des heures complémentaires </t>
  </si>
  <si>
    <t>Heures complémentaires à + 10 %</t>
  </si>
  <si>
    <t xml:space="preserve">Heures complémentaires à + 25 % </t>
  </si>
  <si>
    <t xml:space="preserve">Heures supplémentaires à + 10 %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</si>
  <si>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</si>
  <si>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</si>
  <si>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</si>
  <si>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</si>
  <si>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</si>
  <si>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</si>
  <si>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</si>
  <si>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</si>
  <si>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</si>
  <si>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</si>
  <si>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</si>
  <si>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</si>
  <si>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</si>
  <si>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</si>
  <si>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</si>
  <si>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</si>
  <si>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</si>
  <si>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</si>
  <si>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</si>
  <si>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</si>
  <si>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</si>
  <si>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</si>
  <si>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</si>
  <si>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</si>
  <si>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</si>
  <si>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</si>
  <si>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</si>
  <si>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</si>
  <si>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</si>
  <si>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</si>
  <si>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</si>
  <si>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</si>
  <si>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</si>
  <si>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</si>
  <si>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</si>
  <si>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</si>
  <si>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</si>
  <si>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</si>
  <si>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</si>
  <si>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</si>
  <si>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</si>
  <si>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</si>
  <si>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</si>
  <si>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</si>
  <si>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</si>
  <si>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</si>
  <si>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</si>
  <si>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</si>
  <si>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</si>
  <si>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 xml:space="preserve">Effectifs de l'entreprise </t>
  </si>
  <si>
    <t xml:space="preserve">SMIC Horaire applicable </t>
  </si>
  <si>
    <t>A</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</si>
  <si>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</si>
  <si>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</si>
  <si>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</si>
  <si>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</si>
  <si>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</si>
  <si>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</si>
  <si>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</si>
  <si>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</si>
  <si>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</si>
  <si>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</si>
  <si>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</si>
  <si>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</si>
  <si>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</si>
  <si>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ATGR </t>
  </si>
  <si>
    <t xml:space="preserve">Adresse </t>
  </si>
  <si>
    <t xml:space="preserve">3 Rue Paul Vaillant Couturier 92300 Levallois-Perret </t>
  </si>
  <si>
    <t xml:space="preserve">SIRET (14 chiffres) </t>
  </si>
  <si>
    <t xml:space="preserve">Code APE (4 chiffres et 1 lettre) </t>
  </si>
  <si>
    <t xml:space="preserve">7111C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</si>
  <si>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</si>
  <si>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</si>
  <si>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</si>
  <si>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</si>
  <si>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</si>
  <si>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</si>
  <si>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</si>
  <si>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</si>
  <si>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</si>
  <si>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Hervé </t>
  </si>
  <si>
    <t xml:space="preserve">3 Rue Paul  92700 Colombes </t>
  </si>
  <si>
    <t xml:space="preserve">Emploi </t>
  </si>
  <si>
    <t xml:space="preserve">Position dans la classification </t>
  </si>
  <si>
    <t xml:space="preserve">Numéro de SS </t>
  </si>
  <si>
    <t>1.63.11.59.52.55.</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</si>
  <si>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</si>
  <si>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</si>
  <si>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</si>
  <si>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</si>
  <si>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</si>
  <si>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</si>
  <si>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</si>
  <si>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</si>
  <si>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</si>
  <si>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</si>
  <si>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</si>
  <si>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</si>
  <si>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</si>
  <si>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</si>
  <si>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</si>
  <si>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</si>
  <si>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</si>
  <si>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</si>
  <si>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</si>
  <si>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</si>
  <si>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</si>
  <si>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</si>
  <si>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</si>
  <si>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</si>
  <si>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</si>
  <si>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</si>
  <si>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</si>
  <si>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</si>
  <si>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</si>
  <si>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</si>
  <si>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</si>
  <si>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</si>
  <si>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</si>
  <si>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</si>
  <si>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</si>
  <si>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</si>
  <si>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</si>
  <si>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</si>
  <si>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</si>
  <si>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</si>
  <si>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</si>
  <si>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</si>
  <si>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</si>
  <si>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</si>
  <si>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</si>
  <si>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</si>
  <si>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</si>
  <si>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</si>
  <si>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</si>
  <si>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</si>
  <si>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</si>
  <si>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</si>
  <si>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</si>
  <si>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</si>
  <si>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</si>
  <si>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</si>
  <si>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</si>
  <si>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</si>
  <si>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</si>
  <si>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</si>
  <si>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</si>
  <si>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</si>
  <si>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</si>
  <si>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</si>
  <si>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</si>
  <si>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</si>
  <si>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</si>
  <si>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</si>
  <si>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</si>
  <si>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</si>
  <si>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</si>
  <si>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</si>
  <si>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Responsable Paie</t>
  </si>
  <si>
    <t xml:space="preserve">Incidence de l'absence sur les heures supplémentaires </t>
  </si>
  <si>
    <t xml:space="preserve"> Heures supplémentaires   à  + 25 %</t>
  </si>
  <si>
    <t>AT</t>
  </si>
  <si>
    <t xml:space="preserve">Versement mobilité </t>
  </si>
  <si>
    <t xml:space="preserve">Effectifs </t>
  </si>
  <si>
    <t xml:space="preserve">Mutuelle </t>
  </si>
  <si>
    <t xml:space="preserve">Prévoyance Complémentaire  </t>
  </si>
  <si>
    <t xml:space="preserve">Absence non rémunérée </t>
  </si>
  <si>
    <t xml:space="preserve">Taux neutre </t>
  </si>
  <si>
    <t xml:space="preserve">Non Cadre </t>
  </si>
  <si>
    <t xml:space="preserve">Maintien de salaire </t>
  </si>
  <si>
    <t>NC</t>
  </si>
  <si>
    <t xml:space="preserve">Maintien de salaire  </t>
  </si>
  <si>
    <t>Retraite supplémentaire Art 83</t>
  </si>
  <si>
    <t xml:space="preserve">La cotisation patronale de 0,3% pour le maintien de salaire ne rentre pas dans le calcul de la CSG CRDS  ni dans le net imposable </t>
  </si>
  <si>
    <t xml:space="preserve">TR ( cf Masque de saisie) </t>
  </si>
  <si>
    <t xml:space="preserve">Remboursement 50 % Carte navigo </t>
  </si>
  <si>
    <t xml:space="preserve">Prime pour événement familial </t>
  </si>
  <si>
    <t>Prime pour événement familial</t>
  </si>
  <si>
    <t>On positionne le curseur sur la cellule</t>
  </si>
  <si>
    <t>J84</t>
  </si>
  <si>
    <t xml:space="preserve">Menu Données </t>
  </si>
  <si>
    <t>Analyse de scénario</t>
  </si>
  <si>
    <t xml:space="preserve">Une boîte de dialogue s'ouvre </t>
  </si>
  <si>
    <t xml:space="preserve">Valeur à atteindre </t>
  </si>
  <si>
    <t xml:space="preserve">Cellule à modifier </t>
  </si>
  <si>
    <t>J13</t>
  </si>
  <si>
    <t>OK</t>
  </si>
  <si>
    <t xml:space="preserve">On élimine l'incidence de la PS des TR et du remboursement de la carte Navigo que l'on rétablira ensuite </t>
  </si>
  <si>
    <t xml:space="preserve"> montant trouvé en J13 donne </t>
  </si>
  <si>
    <t xml:space="preserve">Sur le BP tel qu'il se présente on a un net à payer de </t>
  </si>
  <si>
    <t>Sur le BP Format Juillet 2023 on a utilisé  la valeur cible qui pemet d'avoir un salaire net de 3000 euros Quel est le salaire brut  de base correspondant   ?</t>
  </si>
  <si>
    <t xml:space="preserve">Enoncé / Corrigé </t>
  </si>
  <si>
    <t>Tx applicable  Paris et Petite couronne à pa</t>
  </si>
  <si>
    <t>A compter du 01/02/2024</t>
  </si>
  <si>
    <t xml:space="preserve">2,01 % / 1,6 % </t>
  </si>
  <si>
    <t>Hyp 9</t>
  </si>
  <si>
    <t xml:space="preserve">HS défiscalisées </t>
  </si>
  <si>
    <t xml:space="preserve">HS Non défiscalisées </t>
  </si>
  <si>
    <t xml:space="preserve">Heures Suppl et Compl. Défiscalisées </t>
  </si>
  <si>
    <t>Heures Suppl Non défiscalisées</t>
  </si>
  <si>
    <t xml:space="preserve">1. Détermination du taux de réduction de cotisations applicable aux heures supplémentairs ( Cellule D 72 du Bulletin de Paie)  </t>
  </si>
  <si>
    <t>Grille du taux neutre 2025</t>
  </si>
  <si>
    <t xml:space="preserve">SMIC Mensuel  </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</si>
  <si>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</si>
  <si>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</si>
  <si>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le fonctionnement de cette fonction d'Excel </t>
  </si>
  <si>
    <t xml:space="preserve">A titre d'exercice nous avons établi ce bulletin de paie mais nous n'en avons pas besoin. </t>
  </si>
  <si>
    <t xml:space="preserve"> le calcul de la base CSG CRDS du bulletin de paie BP Format Juillet 2023</t>
  </si>
  <si>
    <t xml:space="preserve">Le BP Version Janvier 2023 a  été établi normalement  en découplant en particulier la détermination du net imposable, du taux neutre et </t>
  </si>
  <si>
    <t xml:space="preserve">(sur les maquettes la feuille heures supplémentaires calcule la base CSG CRDS tant pour le BP Format Juillet 2023 que pour le BP </t>
  </si>
  <si>
    <t xml:space="preserve"> Janvier 2023)</t>
  </si>
  <si>
    <t>Janvier 2023  et le taux neutre à appliquer est en référence à la base du PAS du BP Format Juiilet 2023 puis de là repris sur le BP Version</t>
  </si>
  <si>
    <t xml:space="preserve">Question : quel est le salaire de base qui permet d'obtenir un net à payer de 3000  euros ? </t>
  </si>
  <si>
    <r>
      <t xml:space="preserve">L'intérêt de la fonction </t>
    </r>
    <r>
      <rPr>
        <b/>
        <u/>
        <sz val="12"/>
        <color theme="1"/>
        <rFont val="Times New Roman"/>
        <family val="1"/>
      </rPr>
      <t>valeur cible</t>
    </r>
    <r>
      <rPr>
        <sz val="12"/>
        <color theme="1"/>
        <rFont val="Times New Roman"/>
        <family val="1"/>
      </rPr>
      <t xml:space="preserve"> d'Excel permet en particulier de passer d'un net à payer ( ou d'un net imposable) à un salaire brut en quelques clics. Voyons à travers un exemple </t>
    </r>
  </si>
  <si>
    <t>Plafond de la sécurité sociale 2026</t>
  </si>
  <si>
    <t>SMICH 31/12/2025</t>
  </si>
  <si>
    <t>SMICH au 01/01/2026</t>
  </si>
  <si>
    <t xml:space="preserve">alternatives </t>
  </si>
  <si>
    <t>SMIC Mensuel  au 01/01/2026</t>
  </si>
  <si>
    <t>3*SMICH*35*52/12 au 01/01/2026</t>
  </si>
  <si>
    <t>Coefficients Red Gen Dégressive Unique applicable au   01/01/2026 (Entreprises de moins de 50 sal / Entreprises de 50 ou + de 50 sal.)</t>
  </si>
  <si>
    <t xml:space="preserve">Allocations Familiales </t>
  </si>
  <si>
    <t xml:space="preserve">Sécurité sociale Maladie Maternité Invalidité Décés </t>
  </si>
  <si>
    <t>Allocations familiales</t>
  </si>
  <si>
    <t xml:space="preserve">Les cellules en jaune peuvent être modifiées (variables) </t>
  </si>
  <si>
    <t xml:space="preserve">Paramètres 2026  et Variables </t>
  </si>
  <si>
    <t>SMICH</t>
  </si>
  <si>
    <t xml:space="preserve">Coefficients 2026 </t>
  </si>
  <si>
    <t xml:space="preserve">Entreprises de moins de 50 salariés </t>
  </si>
  <si>
    <t xml:space="preserve">Entreprises d'au moins 50 salariés </t>
  </si>
  <si>
    <t xml:space="preserve">Rémunération brute du mois </t>
  </si>
  <si>
    <t>Tmin</t>
  </si>
  <si>
    <t xml:space="preserve">Tdelta </t>
  </si>
  <si>
    <t>Ce montant est calculé automatiquement suivant les effectifs saisis en E21</t>
  </si>
  <si>
    <t xml:space="preserve">3 *SMICH * Heures URSSAF </t>
  </si>
  <si>
    <t xml:space="preserve">Rémunération brute </t>
  </si>
  <si>
    <t>E =C/D</t>
  </si>
  <si>
    <t>E-1</t>
  </si>
  <si>
    <t>G =F/2</t>
  </si>
  <si>
    <t>J = I + A</t>
  </si>
  <si>
    <t xml:space="preserve">Coefficient </t>
  </si>
  <si>
    <t>K</t>
  </si>
  <si>
    <t>Réduction</t>
  </si>
  <si>
    <t xml:space="preserve">Le montant de la réduction est arrondi avec 2 chiffres après la virgule </t>
  </si>
  <si>
    <t>Vous établissez dans un premier temps dans la feuille BP Format Janvier 2023 le BP habituel  pour un salaire de base de 3000 euros.</t>
  </si>
  <si>
    <t xml:space="preserve">avec une prime d'ancienneté de 200 euros </t>
  </si>
  <si>
    <t xml:space="preserve">Vous pouvez donc ne pas en tenir compte pour comprendre le fonctionnement de la valeur cible </t>
  </si>
  <si>
    <t>On parvient à un net à payer avant IR de 2354,09 et un net imposable de 2599,58</t>
  </si>
  <si>
    <t xml:space="preserve">2. Valeur cible </t>
  </si>
  <si>
    <r>
      <rPr>
        <b/>
        <sz val="12"/>
        <color theme="1"/>
        <rFont val="Times New Roman"/>
        <family val="1"/>
      </rPr>
      <t>1. Facultatif</t>
    </r>
    <r>
      <rPr>
        <sz val="12"/>
        <color theme="1"/>
        <rFont val="Times New Roman"/>
        <family val="1"/>
      </rPr>
      <t xml:space="preserve"> : à titre d'exercice </t>
    </r>
  </si>
  <si>
    <t>?</t>
  </si>
  <si>
    <t xml:space="preserve">ce qui en l'absence de TR et de carte Navigo donne bien 3000 comme NET A PAYER </t>
  </si>
  <si>
    <t xml:space="preserve">DFHS entreprises d'au  moins de 250 salariés </t>
  </si>
  <si>
    <t xml:space="preserve">​ </t>
  </si>
  <si>
    <t>G Puissance 1,75</t>
  </si>
  <si>
    <t>H*B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</si>
</sst>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_-* #,##0.00\ _€_-;\-* #,##0.00\ _€_-;_-* &quot;-&quot;??\ _€_-;_-@_-"/>
    <numFmt numFmtId="165" formatCode="d\-mmm\-yyyy;@"/>
    <numFmt numFmtId="166" formatCode="0.0000"/>
    <numFmt numFmtId="167" formatCode="0.000%"/>
    <numFmt numFmtId="168" formatCode="0.0%"/>
    <numFmt numFmtId="169" formatCode="0.00000"/>
    <numFmt numFmtId="170" formatCode="0.000"/>
    <numFmt numFmtId="171" formatCode="_(* #,##0.00_);_(* \(#,##0.00\);_(* &quot;-&quot;??_);_(@_)"/>
    <numFmt numFmtId="172" formatCode="_-* #,##0.0000_-;\-* #,##0.0000_-;_-* &quot;-&quot;??_-;_-@_-"/>
    <numFmt numFmtId="173" formatCode="_-* #,##0.00000\ _€_-;\-* #,##0.00000\ _€_-;_-* &quot;-&quot;??\ _€_-;_-@_-"/>
    <numFmt numFmtId="174" formatCode="_-* #,##0.0000\ _€_-;\-* #,##0.0000\ _€_-;_-* &quot;-&quot;??\ _€_-;_-@_-"/>
    <numFmt numFmtId="175" formatCode="\ #,##0.00&quot;    &quot;;\-#,##0.00&quot;    &quot;;&quot; -&quot;#&quot;    &quot;;@\ "/>
    <numFmt numFmtId="176" formatCode="\ #,##0.00&quot;    &quot;;\-#,##0.00&quot;    &quot;;&quot; -&quot;#&quot;    &quot;;\ @\ "/>
    <numFmt numFmtId="177" formatCode="#,##0.000"/>
    <numFmt numFmtId="178" formatCode="#,##0.00_ ;\-#,##0.00\ "/>
    <numFmt numFmtId="179" formatCode="_-* #,##0.00000000\ _€_-;\-* #,##0.00000000\ _€_-;_-* &quot;-&quot;????????\ _€_-;_-@_-"/>
    <numFmt numFmtId="180" formatCode="_-* #,##0.00000000\ _€_-;\-* #,##0.00000000\ _€_-;_-* &quot;-&quot;??\ _€_-;_-@_-"/>
    <numFmt numFmtId="181" formatCode="_-* #,##0.0000\ _€_-;\-* #,##0.0000\ _€_-;_-* &quot;-&quot;????\ _€_-;_-@_-"/>
    <numFmt numFmtId="182" formatCode="#,##0.0000"/>
    <numFmt numFmtId="183" formatCode="0.0000%"/>
    <numFmt numFmtId="184" formatCode="\ #,##0&quot;    &quot;;\-#,##0&quot;    &quot;;&quot; -&quot;#&quot;    &quot;;@\ "/>
    <numFmt numFmtId="185" formatCode="_-* #,##0.000_-;\-* #,##0.000_-;_-* &quot;-&quot;??_-;_-@_-"/>
    <numFmt numFmtId="186" formatCode="_-* #,##0.00000_-;\-* #,##0.00000_-;_-* &quot;-&quot;??_-;_-@_-"/>
  </numFmts>
  <fonts count="83"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i/>
      <sz val="8"/>
      <name val="Times New Roman"/>
      <family val="1"/>
    </font>
    <font>
      <sz val="9"/>
      <color rgb="FFFF0000"/>
      <name val="Times New Roman"/>
      <family val="1"/>
    </font>
    <font>
      <b/>
      <sz val="9"/>
      <color rgb="FFFF0000"/>
      <name val="Times New Roman"/>
      <family val="1"/>
    </font>
    <font>
      <sz val="11"/>
      <color rgb="FFFF0000"/>
      <name val="Times New Roman"/>
      <family val="1"/>
    </font>
    <font>
      <b/>
      <sz val="11"/>
      <color theme="0"/>
      <name val="Times New Roman"/>
      <family val="1"/>
    </font>
    <font>
      <sz val="11"/>
      <color theme="0"/>
      <name val="Calibri"/>
      <family val="2"/>
      <scheme val="minor"/>
    </font>
    <font>
      <sz val="12"/>
      <color theme="0"/>
      <name val="Times New Roman"/>
      <family val="1"/>
    </font>
    <font>
      <sz val="11"/>
      <color theme="0"/>
      <name val="Times New Roman"/>
      <family val="1"/>
    </font>
    <font>
      <b/>
      <u/>
      <sz val="12"/>
      <color theme="1"/>
      <name val="Times New Roman"/>
      <family val="1"/>
    </font>
    <font>
      <b/>
      <sz val="9"/>
      <color theme="0"/>
      <name val="Times New Roman"/>
      <family val="1"/>
    </font>
    <font>
      <sz val="9"/>
      <color theme="0"/>
      <name val="Times New Roman"/>
      <family val="1"/>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4"/>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4">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cellStyleXfs>
  <cellXfs count="795">
    <xf numFmtId="0" fontId="0" fillId="0" borderId="0" xfId="0"/>
    <xf numFmtId="0" fontId="0" fillId="0" borderId="1" xfId="0" applyBorder="1" applyAlignment="1">
      <alignment horizontal="right"/>
    </xf>
    <xf numFmtId="4" fontId="0" fillId="0" borderId="0" xfId="0" applyNumberFormat="1"/>
    <xf numFmtId="166" fontId="0" fillId="0" borderId="1" xfId="0" applyNumberFormat="1" applyBorder="1" applyAlignment="1">
      <alignment horizontal="right"/>
    </xf>
    <xf numFmtId="0" fontId="0" fillId="0" borderId="1" xfId="0" applyBorder="1"/>
    <xf numFmtId="0" fontId="20" fillId="0" borderId="0" xfId="0" applyFont="1"/>
    <xf numFmtId="10" fontId="0" fillId="0" borderId="0" xfId="0" applyNumberFormat="1"/>
    <xf numFmtId="167" fontId="18" fillId="0" borderId="0" xfId="3" applyNumberFormat="1" applyFont="1" applyBorder="1"/>
    <xf numFmtId="0" fontId="20" fillId="0" borderId="0" xfId="0" applyFont="1" applyAlignment="1">
      <alignment horizontal="left"/>
    </xf>
    <xf numFmtId="4" fontId="0" fillId="0" borderId="0" xfId="0" applyNumberFormat="1" applyAlignment="1">
      <alignment horizontal="center"/>
    </xf>
    <xf numFmtId="170" fontId="0" fillId="0" borderId="0" xfId="0" applyNumberFormat="1" applyAlignment="1">
      <alignment horizontal="center"/>
    </xf>
    <xf numFmtId="0" fontId="21" fillId="0" borderId="0" xfId="0" applyFont="1" applyAlignment="1">
      <alignment horizontal="center"/>
    </xf>
    <xf numFmtId="0" fontId="0" fillId="0" borderId="0" xfId="0" quotePrefix="1"/>
    <xf numFmtId="166" fontId="21" fillId="0" borderId="0" xfId="0" applyNumberFormat="1" applyFont="1" applyAlignment="1">
      <alignment horizontal="center"/>
    </xf>
    <xf numFmtId="166"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6"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4" fillId="0" borderId="1" xfId="0" applyFont="1" applyBorder="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6"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70" fontId="0" fillId="0" borderId="0" xfId="0" applyNumberFormat="1" applyAlignment="1">
      <alignment horizontal="right"/>
    </xf>
    <xf numFmtId="43" fontId="12" fillId="2" borderId="5" xfId="1" applyFont="1" applyFill="1" applyBorder="1" applyAlignment="1">
      <alignment horizontal="right" vertical="center"/>
    </xf>
    <xf numFmtId="171"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4" fontId="24" fillId="0" borderId="1" xfId="0" applyNumberFormat="1" applyFont="1" applyBorder="1"/>
    <xf numFmtId="167"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5" fontId="41" fillId="2" borderId="1" xfId="0" applyNumberFormat="1" applyFont="1" applyFill="1" applyBorder="1" applyAlignment="1">
      <alignment horizontal="center" vertical="center" wrapText="1"/>
    </xf>
    <xf numFmtId="175"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5"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5"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5" fontId="17" fillId="0" borderId="1" xfId="1" applyNumberFormat="1" applyFont="1" applyBorder="1" applyAlignment="1">
      <alignment horizontal="center" vertical="center" wrapText="1"/>
    </xf>
    <xf numFmtId="175" fontId="17" fillId="0" borderId="1" xfId="1" quotePrefix="1" applyNumberFormat="1" applyFont="1" applyBorder="1" applyAlignment="1">
      <alignment horizontal="center" vertical="center" wrapText="1"/>
    </xf>
    <xf numFmtId="176" fontId="15" fillId="0" borderId="0" xfId="1" applyNumberFormat="1" applyFont="1"/>
    <xf numFmtId="175"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5" fontId="17" fillId="0" borderId="0" xfId="1" applyNumberFormat="1" applyFont="1" applyAlignment="1">
      <alignment horizontal="left" vertical="center"/>
    </xf>
    <xf numFmtId="175" fontId="16" fillId="0" borderId="0" xfId="1" applyNumberFormat="1" applyFont="1" applyAlignment="1">
      <alignment horizontal="center" vertical="center" wrapText="1"/>
    </xf>
    <xf numFmtId="175" fontId="16" fillId="0" borderId="0" xfId="1" quotePrefix="1" applyNumberFormat="1" applyFont="1" applyAlignment="1">
      <alignment horizontal="center" vertical="center" wrapText="1"/>
    </xf>
    <xf numFmtId="175"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5" fontId="46" fillId="0" borderId="1" xfId="0" applyNumberFormat="1" applyFont="1" applyBorder="1" applyAlignment="1">
      <alignment horizontal="center" vertical="center" wrapText="1"/>
    </xf>
    <xf numFmtId="175"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8" fontId="46" fillId="0" borderId="1" xfId="0" applyNumberFormat="1" applyFont="1" applyBorder="1"/>
    <xf numFmtId="0" fontId="25" fillId="0" borderId="0" xfId="0" applyFont="1" applyAlignment="1">
      <alignment horizontal="center"/>
    </xf>
    <xf numFmtId="43" fontId="25" fillId="0" borderId="1" xfId="1" applyFont="1" applyBorder="1"/>
    <xf numFmtId="178"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9"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80"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3"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80"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5"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2" fontId="33" fillId="0" borderId="0" xfId="1" applyNumberFormat="1" applyFont="1"/>
    <xf numFmtId="181" fontId="33" fillId="0" borderId="0" xfId="0" applyNumberFormat="1" applyFont="1"/>
    <xf numFmtId="43" fontId="33" fillId="0" borderId="1" xfId="1" quotePrefix="1" applyFont="1" applyBorder="1"/>
    <xf numFmtId="167"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7" fontId="22" fillId="0" borderId="1" xfId="3" quotePrefix="1" applyNumberFormat="1" applyFont="1" applyFill="1" applyBorder="1" applyAlignment="1">
      <alignment horizontal="center" vertical="center"/>
    </xf>
    <xf numFmtId="167"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5"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80"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7"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70" fontId="33" fillId="2" borderId="0" xfId="0" applyNumberFormat="1" applyFont="1" applyFill="1" applyAlignment="1">
      <alignment horizontal="right"/>
    </xf>
    <xf numFmtId="168" fontId="3" fillId="0" borderId="9" xfId="3" applyNumberFormat="1" applyFont="1" applyBorder="1" applyAlignment="1">
      <alignment horizontal="center" vertical="center"/>
    </xf>
    <xf numFmtId="167"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70"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70"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6"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7" fontId="26" fillId="0" borderId="0" xfId="3" applyNumberFormat="1" applyFont="1"/>
    <xf numFmtId="0" fontId="55" fillId="0" borderId="0" xfId="0" applyFont="1" applyAlignment="1">
      <alignment horizontal="left"/>
    </xf>
    <xf numFmtId="0" fontId="55" fillId="0" borderId="0" xfId="0" applyFont="1" applyAlignment="1">
      <alignment horizontal="center"/>
    </xf>
    <xf numFmtId="166" fontId="55" fillId="0" borderId="0" xfId="0" applyNumberFormat="1" applyFont="1" applyAlignment="1">
      <alignment horizontal="center"/>
    </xf>
    <xf numFmtId="0" fontId="7" fillId="0" borderId="0" xfId="0" applyFont="1" applyAlignment="1">
      <alignment horizontal="left" vertical="center"/>
    </xf>
    <xf numFmtId="166" fontId="26" fillId="0" borderId="0" xfId="0" applyNumberFormat="1" applyFont="1"/>
    <xf numFmtId="0" fontId="32" fillId="0" borderId="0" xfId="0" applyFont="1" applyAlignment="1">
      <alignment horizontal="left"/>
    </xf>
    <xf numFmtId="0" fontId="26" fillId="0" borderId="0" xfId="0" quotePrefix="1" applyFont="1"/>
    <xf numFmtId="166" fontId="26" fillId="0" borderId="1" xfId="0" applyNumberFormat="1" applyFont="1" applyBorder="1" applyAlignment="1">
      <alignment horizontal="right"/>
    </xf>
    <xf numFmtId="4" fontId="26" fillId="0" borderId="0" xfId="0" applyNumberFormat="1" applyFont="1" applyAlignment="1">
      <alignment horizontal="center"/>
    </xf>
    <xf numFmtId="170"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2" fontId="26" fillId="0" borderId="1" xfId="0" applyNumberFormat="1" applyFont="1" applyBorder="1" applyAlignment="1">
      <alignment horizontal="right"/>
    </xf>
    <xf numFmtId="4" fontId="26" fillId="0" borderId="12" xfId="0" applyNumberFormat="1" applyFont="1" applyBorder="1" applyAlignment="1">
      <alignment horizontal="right"/>
    </xf>
    <xf numFmtId="174"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6" fontId="26" fillId="0" borderId="12" xfId="0" applyNumberFormat="1" applyFont="1" applyBorder="1" applyAlignment="1">
      <alignment horizontal="right"/>
    </xf>
    <xf numFmtId="166"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6" fontId="26" fillId="0" borderId="7" xfId="0" applyNumberFormat="1" applyFont="1" applyBorder="1" applyAlignment="1">
      <alignment horizontal="center" vertical="center" wrapText="1"/>
    </xf>
    <xf numFmtId="166" fontId="26" fillId="0" borderId="7" xfId="0" applyNumberFormat="1" applyFont="1" applyBorder="1" applyAlignment="1">
      <alignment horizontal="right"/>
    </xf>
    <xf numFmtId="166" fontId="26" fillId="0" borderId="8" xfId="0" applyNumberFormat="1" applyFont="1" applyBorder="1" applyAlignment="1">
      <alignment horizontal="right"/>
    </xf>
    <xf numFmtId="0" fontId="32" fillId="0" borderId="3" xfId="0" applyFont="1" applyBorder="1" applyAlignment="1">
      <alignment horizontal="center" vertical="center" wrapText="1"/>
    </xf>
    <xf numFmtId="166" fontId="26" fillId="0" borderId="4" xfId="0" applyNumberFormat="1" applyFont="1" applyBorder="1" applyAlignment="1">
      <alignment horizontal="center" vertical="center" wrapText="1"/>
    </xf>
    <xf numFmtId="166" fontId="26" fillId="0" borderId="4" xfId="0" applyNumberFormat="1" applyFont="1" applyBorder="1" applyAlignment="1">
      <alignment horizontal="right"/>
    </xf>
    <xf numFmtId="0" fontId="26" fillId="0" borderId="5" xfId="0" applyFont="1" applyBorder="1" applyAlignment="1">
      <alignment horizontal="right"/>
    </xf>
    <xf numFmtId="166" fontId="55" fillId="0" borderId="0" xfId="0" applyNumberFormat="1" applyFont="1" applyAlignment="1">
      <alignment horizontal="right"/>
    </xf>
    <xf numFmtId="177" fontId="55" fillId="0" borderId="12" xfId="0" applyNumberFormat="1" applyFont="1" applyBorder="1" applyAlignment="1">
      <alignment horizontal="right"/>
    </xf>
    <xf numFmtId="10" fontId="26" fillId="0" borderId="0" xfId="3" applyNumberFormat="1" applyFont="1" applyAlignment="1">
      <alignment horizontal="right"/>
    </xf>
    <xf numFmtId="166"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70"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1" fontId="12" fillId="0" borderId="9" xfId="1" applyNumberFormat="1" applyFont="1" applyBorder="1" applyAlignment="1">
      <alignment horizontal="right" vertical="center"/>
    </xf>
    <xf numFmtId="168" fontId="3" fillId="0" borderId="9" xfId="3" applyNumberFormat="1" applyFont="1" applyBorder="1" applyAlignment="1">
      <alignment horizontal="right" vertical="center"/>
    </xf>
    <xf numFmtId="166" fontId="33" fillId="2" borderId="0" xfId="0" applyNumberFormat="1" applyFont="1" applyFill="1" applyAlignment="1">
      <alignment horizontal="right"/>
    </xf>
    <xf numFmtId="167" fontId="3" fillId="0" borderId="9" xfId="3" applyNumberFormat="1" applyFont="1" applyFill="1" applyBorder="1" applyAlignment="1">
      <alignment horizontal="center" vertical="center"/>
    </xf>
    <xf numFmtId="167"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6"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6"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6" fontId="34" fillId="0" borderId="0" xfId="0" applyNumberFormat="1" applyFont="1" applyAlignment="1">
      <alignment horizontal="center" vertical="center" wrapText="1"/>
    </xf>
    <xf numFmtId="166"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6"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6" fontId="34" fillId="0" borderId="1" xfId="0" applyNumberFormat="1" applyFont="1" applyBorder="1" applyAlignment="1">
      <alignment horizontal="center" vertical="center" wrapText="1"/>
    </xf>
    <xf numFmtId="0" fontId="58" fillId="0" borderId="1" xfId="0" applyFont="1" applyBorder="1" applyAlignment="1">
      <alignment horizontal="center" vertical="center" wrapText="1"/>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59"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0"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0" fontId="61"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3"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6"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3"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6" fontId="39" fillId="0" borderId="2" xfId="0" applyNumberFormat="1" applyFont="1" applyBorder="1" applyAlignment="1">
      <alignment horizontal="center" vertical="center"/>
    </xf>
    <xf numFmtId="166"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9" fontId="31" fillId="0" borderId="1" xfId="0" applyNumberFormat="1" applyFont="1" applyBorder="1" applyAlignment="1">
      <alignment horizontal="center" vertical="center"/>
    </xf>
    <xf numFmtId="166"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5"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6" fontId="31" fillId="0" borderId="1" xfId="0" applyNumberFormat="1" applyFont="1" applyBorder="1" applyAlignment="1">
      <alignment horizontal="center" vertical="center" wrapText="1"/>
    </xf>
    <xf numFmtId="4" fontId="66" fillId="0" borderId="2" xfId="0" applyNumberFormat="1" applyFont="1" applyBorder="1" applyAlignment="1">
      <alignment horizontal="right"/>
    </xf>
    <xf numFmtId="14" fontId="17" fillId="0" borderId="1" xfId="2" applyNumberFormat="1" applyFont="1" applyBorder="1" applyAlignment="1">
      <alignment horizontal="center"/>
    </xf>
    <xf numFmtId="165" fontId="3" fillId="0" borderId="1" xfId="2" applyNumberFormat="1" applyFont="1" applyBorder="1"/>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6"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5" fillId="0" borderId="1" xfId="0" applyFont="1" applyBorder="1" applyAlignment="1">
      <alignment vertical="center" wrapText="1"/>
    </xf>
    <xf numFmtId="0" fontId="42" fillId="0" borderId="1" xfId="0" applyFont="1" applyBorder="1" applyAlignment="1">
      <alignment vertical="center" wrapText="1"/>
    </xf>
    <xf numFmtId="167"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8"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1"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69" fillId="0" borderId="1" xfId="0" applyNumberFormat="1" applyFont="1" applyBorder="1" applyAlignment="1">
      <alignment horizontal="center" vertical="center"/>
    </xf>
    <xf numFmtId="10" fontId="69"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9" fontId="69" fillId="0" borderId="1" xfId="0" applyNumberFormat="1" applyFont="1" applyBorder="1" applyAlignment="1">
      <alignment horizontal="center" vertical="center"/>
    </xf>
    <xf numFmtId="166" fontId="28" fillId="0" borderId="1" xfId="0" applyNumberFormat="1" applyFont="1" applyBorder="1" applyAlignment="1">
      <alignment horizontal="center" vertical="center"/>
    </xf>
    <xf numFmtId="166" fontId="69"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69" fillId="0" borderId="0" xfId="0" applyNumberFormat="1" applyFont="1" applyAlignment="1">
      <alignment horizontal="center" vertical="center"/>
    </xf>
    <xf numFmtId="169" fontId="69" fillId="0" borderId="0" xfId="0" applyNumberFormat="1" applyFont="1" applyAlignment="1">
      <alignment horizontal="center" vertical="center"/>
    </xf>
    <xf numFmtId="166" fontId="28" fillId="0" borderId="0" xfId="0" applyNumberFormat="1" applyFont="1" applyAlignment="1">
      <alignment horizontal="center" vertical="center"/>
    </xf>
    <xf numFmtId="166" fontId="69" fillId="0" borderId="0" xfId="0" applyNumberFormat="1" applyFont="1" applyAlignment="1">
      <alignment horizontal="center" vertical="center"/>
    </xf>
    <xf numFmtId="4" fontId="28" fillId="0" borderId="0" xfId="0" applyNumberFormat="1" applyFont="1" applyAlignment="1">
      <alignment horizontal="center" vertical="center"/>
    </xf>
    <xf numFmtId="0" fontId="71"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3" fontId="0" fillId="0" borderId="0" xfId="1" applyFont="1" applyAlignment="1">
      <alignment horizontal="right"/>
    </xf>
    <xf numFmtId="4" fontId="22" fillId="2" borderId="1" xfId="0" quotePrefix="1" applyNumberFormat="1" applyFont="1" applyFill="1" applyBorder="1" applyAlignment="1">
      <alignment horizontal="center" vertical="center"/>
    </xf>
    <xf numFmtId="0" fontId="28" fillId="0" borderId="4" xfId="0" applyFont="1" applyBorder="1"/>
    <xf numFmtId="0" fontId="28" fillId="0" borderId="7" xfId="0" applyFont="1" applyBorder="1"/>
    <xf numFmtId="4" fontId="66"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5"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4" fontId="17" fillId="0" borderId="12" xfId="1" applyNumberFormat="1" applyFont="1" applyFill="1" applyBorder="1" applyAlignment="1">
      <alignment horizontal="center" vertical="center"/>
    </xf>
    <xf numFmtId="175"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8"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0" fontId="33" fillId="0" borderId="0" xfId="3" applyNumberFormat="1" applyFont="1" applyBorder="1"/>
    <xf numFmtId="43" fontId="33" fillId="0" borderId="0" xfId="1" applyFont="1" applyBorder="1"/>
    <xf numFmtId="172" fontId="33" fillId="0" borderId="0" xfId="1" applyNumberFormat="1" applyFont="1" applyBorder="1"/>
    <xf numFmtId="43" fontId="33" fillId="0" borderId="0" xfId="0" applyNumberFormat="1" applyFont="1"/>
    <xf numFmtId="4" fontId="33" fillId="0" borderId="0" xfId="0" applyNumberFormat="1" applyFont="1"/>
    <xf numFmtId="185" fontId="33" fillId="0" borderId="1" xfId="1" applyNumberFormat="1" applyFont="1" applyBorder="1" applyAlignment="1">
      <alignment horizontal="center"/>
    </xf>
    <xf numFmtId="43" fontId="33" fillId="0" borderId="10" xfId="1" applyFont="1" applyBorder="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8" fillId="0" borderId="10" xfId="1" quotePrefix="1" applyFont="1" applyBorder="1"/>
    <xf numFmtId="0" fontId="18" fillId="0" borderId="10" xfId="0" quotePrefix="1" applyFont="1" applyBorder="1"/>
    <xf numFmtId="2" fontId="28" fillId="0" borderId="1" xfId="0" applyNumberFormat="1" applyFont="1" applyBorder="1" applyAlignment="1">
      <alignment horizontal="center" vertical="center"/>
    </xf>
    <xf numFmtId="164" fontId="17" fillId="0" borderId="1" xfId="2" applyNumberFormat="1" applyFont="1" applyBorder="1" applyAlignment="1">
      <alignment horizontal="center" vertical="center" wrapText="1"/>
    </xf>
    <xf numFmtId="0" fontId="17" fillId="0" borderId="1" xfId="2" applyFont="1" applyBorder="1" applyAlignment="1">
      <alignment horizontal="center" vertical="center" wrapText="1"/>
    </xf>
    <xf numFmtId="2" fontId="17" fillId="0" borderId="1" xfId="2" applyNumberFormat="1" applyFont="1" applyBorder="1" applyAlignment="1">
      <alignment horizontal="center" vertical="center" wrapText="1"/>
    </xf>
    <xf numFmtId="4" fontId="17" fillId="0" borderId="1" xfId="2" applyNumberFormat="1" applyFont="1" applyBorder="1" applyAlignment="1">
      <alignment horizontal="center" vertical="center" wrapText="1"/>
    </xf>
    <xf numFmtId="0" fontId="72" fillId="0" borderId="1" xfId="2" applyFont="1" applyBorder="1" applyAlignment="1">
      <alignment horizontal="center" vertical="center" wrapText="1"/>
    </xf>
    <xf numFmtId="43" fontId="34" fillId="0" borderId="0" xfId="1" applyFont="1"/>
    <xf numFmtId="0" fontId="17" fillId="0" borderId="1" xfId="2" applyFont="1" applyBorder="1" applyAlignment="1">
      <alignment horizontal="right" vertical="center" wrapText="1"/>
    </xf>
    <xf numFmtId="43" fontId="24" fillId="0" borderId="1" xfId="0" applyNumberFormat="1" applyFont="1" applyBorder="1" applyAlignment="1">
      <alignment horizontal="right"/>
    </xf>
    <xf numFmtId="164" fontId="24" fillId="0" borderId="1" xfId="0" quotePrefix="1" applyNumberFormat="1" applyFont="1" applyBorder="1"/>
    <xf numFmtId="0" fontId="17" fillId="0" borderId="1" xfId="2" applyFont="1" applyBorder="1" applyAlignment="1">
      <alignment horizontal="right"/>
    </xf>
    <xf numFmtId="0" fontId="72" fillId="0" borderId="1" xfId="2" applyFont="1" applyBorder="1" applyAlignment="1">
      <alignment horizontal="center"/>
    </xf>
    <xf numFmtId="0" fontId="17" fillId="0" borderId="1" xfId="2" applyFont="1" applyBorder="1"/>
    <xf numFmtId="43" fontId="26" fillId="0" borderId="0" xfId="1" applyFont="1"/>
    <xf numFmtId="168" fontId="7" fillId="0" borderId="1" xfId="3" applyNumberFormat="1" applyFont="1" applyBorder="1" applyAlignment="1">
      <alignment horizontal="center" vertical="center"/>
    </xf>
    <xf numFmtId="43" fontId="57" fillId="0" borderId="1" xfId="1" applyFont="1" applyBorder="1" applyAlignment="1">
      <alignment horizontal="center" vertical="center"/>
    </xf>
    <xf numFmtId="0" fontId="39" fillId="0" borderId="0" xfId="0" applyFont="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14" fontId="28" fillId="2" borderId="1" xfId="0" applyNumberFormat="1" applyFont="1" applyFill="1" applyBorder="1" applyAlignment="1">
      <alignment horizontal="center" vertical="center"/>
    </xf>
    <xf numFmtId="2" fontId="28" fillId="2" borderId="1" xfId="0" applyNumberFormat="1" applyFont="1" applyFill="1" applyBorder="1" applyAlignment="1">
      <alignment horizontal="center" vertical="center"/>
    </xf>
    <xf numFmtId="43" fontId="28" fillId="2" borderId="1" xfId="1" applyFont="1" applyFill="1" applyBorder="1" applyAlignment="1">
      <alignment horizontal="center" vertical="center"/>
    </xf>
    <xf numFmtId="2" fontId="28" fillId="2" borderId="1" xfId="0" applyNumberFormat="1" applyFont="1" applyFill="1" applyBorder="1"/>
    <xf numFmtId="0" fontId="34" fillId="2" borderId="0" xfId="0" applyFont="1" applyFill="1"/>
    <xf numFmtId="0" fontId="28" fillId="2" borderId="1" xfId="0" applyFont="1" applyFill="1" applyBorder="1" applyAlignment="1">
      <alignment horizont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43" fontId="73" fillId="0" borderId="1" xfId="1" applyFont="1" applyBorder="1" applyAlignment="1">
      <alignment horizontal="center" vertical="center"/>
    </xf>
    <xf numFmtId="0" fontId="75" fillId="0" borderId="0" xfId="0" applyFont="1"/>
    <xf numFmtId="43" fontId="7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43" fontId="34" fillId="2" borderId="0" xfId="1" applyFont="1" applyFill="1"/>
    <xf numFmtId="10" fontId="34" fillId="2" borderId="0" xfId="0" applyNumberFormat="1" applyFont="1" applyFill="1"/>
    <xf numFmtId="0" fontId="0" fillId="2" borderId="0" xfId="0" applyFill="1"/>
    <xf numFmtId="0" fontId="33" fillId="0" borderId="0" xfId="0" quotePrefix="1" applyFont="1"/>
    <xf numFmtId="43" fontId="33" fillId="0" borderId="0" xfId="1" applyFont="1"/>
    <xf numFmtId="43" fontId="33" fillId="0" borderId="0" xfId="1" applyFont="1" applyAlignment="1">
      <alignment horizontal="right"/>
    </xf>
    <xf numFmtId="43" fontId="0" fillId="0" borderId="1" xfId="1" applyFont="1" applyBorder="1" applyAlignment="1">
      <alignment horizontal="center"/>
    </xf>
    <xf numFmtId="185" fontId="33" fillId="0" borderId="13" xfId="1" applyNumberFormat="1" applyFont="1" applyBorder="1" applyAlignment="1">
      <alignment horizontal="center"/>
    </xf>
    <xf numFmtId="164" fontId="33" fillId="0" borderId="0" xfId="0" applyNumberFormat="1" applyFont="1" applyAlignment="1">
      <alignment horizontal="center"/>
    </xf>
    <xf numFmtId="185" fontId="33" fillId="2" borderId="1" xfId="1" applyNumberFormat="1" applyFont="1" applyFill="1" applyBorder="1" applyAlignment="1">
      <alignment horizontal="center"/>
    </xf>
    <xf numFmtId="185" fontId="33" fillId="2" borderId="1" xfId="0" applyNumberFormat="1" applyFont="1" applyFill="1" applyBorder="1" applyAlignment="1">
      <alignment horizontal="center"/>
    </xf>
    <xf numFmtId="10" fontId="28" fillId="2" borderId="1" xfId="0" applyNumberFormat="1" applyFont="1" applyFill="1" applyBorder="1" applyAlignment="1">
      <alignment horizontal="center" vertical="center"/>
    </xf>
    <xf numFmtId="4" fontId="27" fillId="0" borderId="0" xfId="0" quotePrefix="1" applyNumberFormat="1" applyFont="1" applyAlignment="1">
      <alignment horizontal="center" vertical="center" wrapText="1"/>
    </xf>
    <xf numFmtId="4" fontId="33" fillId="0" borderId="1" xfId="0" applyNumberFormat="1" applyFont="1" applyBorder="1"/>
    <xf numFmtId="0" fontId="78" fillId="8" borderId="3" xfId="0" applyFont="1" applyFill="1" applyBorder="1"/>
    <xf numFmtId="0" fontId="78" fillId="8" borderId="4" xfId="0" applyFont="1" applyFill="1" applyBorder="1"/>
    <xf numFmtId="0" fontId="78" fillId="8" borderId="5" xfId="0" applyFont="1" applyFill="1" applyBorder="1"/>
    <xf numFmtId="0" fontId="78" fillId="8" borderId="11" xfId="0" applyFont="1" applyFill="1" applyBorder="1"/>
    <xf numFmtId="0" fontId="78" fillId="8" borderId="0" xfId="0" applyFont="1" applyFill="1"/>
    <xf numFmtId="0" fontId="78" fillId="8" borderId="12" xfId="0" applyFont="1" applyFill="1" applyBorder="1"/>
    <xf numFmtId="0" fontId="78" fillId="8" borderId="6" xfId="0" applyFont="1" applyFill="1" applyBorder="1"/>
    <xf numFmtId="0" fontId="78" fillId="8" borderId="7" xfId="0" applyFont="1" applyFill="1" applyBorder="1"/>
    <xf numFmtId="0" fontId="78" fillId="8" borderId="8" xfId="0" applyFont="1" applyFill="1" applyBorder="1"/>
    <xf numFmtId="43" fontId="78" fillId="8" borderId="12" xfId="1" applyFont="1" applyFill="1" applyBorder="1"/>
    <xf numFmtId="0" fontId="78" fillId="8" borderId="12" xfId="0" applyFont="1" applyFill="1" applyBorder="1" applyAlignment="1">
      <alignment horizontal="center"/>
    </xf>
    <xf numFmtId="0" fontId="77" fillId="8" borderId="0" xfId="0" applyFont="1" applyFill="1"/>
    <xf numFmtId="4" fontId="77" fillId="8" borderId="0" xfId="0" applyNumberFormat="1" applyFont="1" applyFill="1"/>
    <xf numFmtId="182" fontId="26" fillId="0" borderId="0" xfId="0" applyNumberFormat="1" applyFont="1"/>
    <xf numFmtId="164" fontId="79" fillId="8" borderId="1" xfId="0" applyNumberFormat="1" applyFont="1" applyFill="1" applyBorder="1" applyAlignment="1">
      <alignment horizontal="center"/>
    </xf>
    <xf numFmtId="0" fontId="78" fillId="8" borderId="0" xfId="0" applyFont="1" applyFill="1" applyAlignment="1">
      <alignment horizontal="center"/>
    </xf>
    <xf numFmtId="0" fontId="73" fillId="0" borderId="0" xfId="0" applyFont="1"/>
    <xf numFmtId="43" fontId="34" fillId="0" borderId="1" xfId="0" applyNumberFormat="1" applyFont="1" applyBorder="1" applyAlignment="1">
      <alignment horizontal="center" vertical="center" wrapText="1"/>
    </xf>
    <xf numFmtId="2" fontId="34"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9" fontId="34" fillId="0" borderId="1" xfId="0" applyNumberFormat="1" applyFont="1" applyBorder="1" applyAlignment="1">
      <alignment horizontal="center" vertical="center" wrapText="1"/>
    </xf>
    <xf numFmtId="0" fontId="80" fillId="0" borderId="0" xfId="0" applyFont="1"/>
    <xf numFmtId="0" fontId="40" fillId="0" borderId="0" xfId="0" applyFont="1"/>
    <xf numFmtId="172" fontId="81" fillId="9" borderId="9" xfId="1" applyNumberFormat="1" applyFont="1" applyFill="1" applyBorder="1" applyAlignment="1">
      <alignment horizontal="right" vertical="center" wrapText="1"/>
    </xf>
    <xf numFmtId="172" fontId="81" fillId="9" borderId="1" xfId="1" applyNumberFormat="1" applyFont="1" applyFill="1" applyBorder="1" applyAlignment="1">
      <alignment horizontal="right" vertical="center" wrapText="1"/>
    </xf>
    <xf numFmtId="10" fontId="82" fillId="9" borderId="9" xfId="3" applyNumberFormat="1" applyFont="1" applyFill="1" applyBorder="1" applyAlignment="1">
      <alignment horizontal="center" vertical="center"/>
    </xf>
    <xf numFmtId="43" fontId="81" fillId="9" borderId="1" xfId="1" applyFont="1" applyFill="1" applyBorder="1" applyAlignment="1">
      <alignment horizontal="right" vertical="center"/>
    </xf>
    <xf numFmtId="43" fontId="81" fillId="9" borderId="1" xfId="1" applyFont="1" applyFill="1" applyBorder="1" applyAlignment="1">
      <alignment horizontal="center" vertical="center"/>
    </xf>
    <xf numFmtId="10" fontId="82" fillId="9" borderId="1" xfId="3" applyNumberFormat="1" applyFont="1" applyFill="1" applyBorder="1" applyAlignment="1">
      <alignment horizontal="center"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186" fontId="34" fillId="0" borderId="1" xfId="1" quotePrefix="1" applyNumberFormat="1" applyFont="1" applyBorder="1" applyAlignment="1">
      <alignment horizontal="center" vertical="center" wrapText="1"/>
    </xf>
    <xf numFmtId="43" fontId="34" fillId="2" borderId="1" xfId="1" applyFont="1" applyFill="1" applyBorder="1" applyAlignment="1">
      <alignment horizontal="center" vertical="center" wrapText="1"/>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70"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33" fillId="0" borderId="0" xfId="0" applyFont="1" applyAlignment="1">
      <alignment horizontal="center" vertical="center" wrapText="1"/>
    </xf>
    <xf numFmtId="0" fontId="17" fillId="0" borderId="10" xfId="0" applyFont="1" applyBorder="1" applyAlignment="1">
      <alignment vertical="center" wrapText="1"/>
    </xf>
    <xf numFmtId="0" fontId="17" fillId="0" borderId="9" xfId="0" applyFont="1" applyBorder="1" applyAlignment="1">
      <alignment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3" fillId="0" borderId="10" xfId="0" applyFont="1" applyBorder="1" applyAlignment="1">
      <alignment horizontal="left" vertical="center"/>
    </xf>
    <xf numFmtId="0" fontId="3" fillId="0" borderId="9" xfId="0" applyFont="1" applyBorder="1" applyAlignment="1">
      <alignment horizontal="left" vertical="center"/>
    </xf>
    <xf numFmtId="170"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52" fillId="0" borderId="0" xfId="0" applyFont="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56" fillId="2" borderId="10" xfId="0" applyFont="1" applyFill="1" applyBorder="1" applyAlignment="1">
      <alignment horizontal="center" vertical="center"/>
    </xf>
    <xf numFmtId="0" fontId="56"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vertical="center"/>
    </xf>
    <xf numFmtId="0" fontId="3" fillId="0" borderId="9" xfId="0" applyFont="1" applyBorder="1" applyAlignment="1">
      <alignment vertical="center"/>
    </xf>
    <xf numFmtId="0" fontId="82" fillId="9" borderId="10" xfId="0" applyFont="1" applyFill="1" applyBorder="1" applyAlignment="1">
      <alignment vertical="center" wrapText="1"/>
    </xf>
    <xf numFmtId="0" fontId="82" fillId="9" borderId="9" xfId="0" applyFont="1" applyFill="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7" fillId="2" borderId="10" xfId="0" applyFont="1" applyFill="1" applyBorder="1" applyAlignment="1">
      <alignment horizontal="center"/>
    </xf>
    <xf numFmtId="0" fontId="57" fillId="2" borderId="9" xfId="0" applyFont="1" applyFill="1" applyBorder="1" applyAlignment="1">
      <alignment horizontal="center"/>
    </xf>
    <xf numFmtId="0" fontId="3" fillId="0" borderId="15" xfId="0" applyFont="1" applyBorder="1" applyAlignment="1">
      <alignment horizontal="left" vertical="center" wrapText="1"/>
    </xf>
    <xf numFmtId="0" fontId="3" fillId="0" borderId="9"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5" fillId="2" borderId="3" xfId="0" applyFont="1" applyFill="1" applyBorder="1" applyAlignment="1">
      <alignment horizontal="center"/>
    </xf>
    <xf numFmtId="0" fontId="35" fillId="2" borderId="4" xfId="0" applyFont="1" applyFill="1" applyBorder="1" applyAlignment="1">
      <alignment horizontal="center"/>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0" fillId="0" borderId="0" xfId="0"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59"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0" fontId="16" fillId="0" borderId="17" xfId="2" applyFont="1" applyBorder="1" applyAlignment="1">
      <alignment horizontal="center"/>
    </xf>
    <xf numFmtId="0" fontId="16" fillId="0" borderId="9"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6" fillId="0" borderId="10" xfId="2" applyFont="1" applyBorder="1" applyAlignment="1">
      <alignment horizontal="center"/>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4" fillId="2" borderId="6" xfId="2" applyFont="1" applyFill="1" applyBorder="1" applyAlignment="1">
      <alignment horizontal="center" vertical="center" wrapText="1"/>
    </xf>
    <xf numFmtId="0" fontId="54" fillId="2" borderId="7" xfId="2" applyFont="1" applyFill="1" applyBorder="1" applyAlignment="1">
      <alignment horizontal="center" vertical="center" wrapText="1"/>
    </xf>
    <xf numFmtId="0" fontId="16" fillId="0" borderId="15" xfId="2" applyFont="1" applyBorder="1" applyAlignment="1">
      <alignment horizontal="center"/>
    </xf>
    <xf numFmtId="0" fontId="17" fillId="0" borderId="1" xfId="2"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59" fillId="0" borderId="10" xfId="2" applyFont="1" applyBorder="1" applyAlignment="1">
      <alignment horizontal="center"/>
    </xf>
    <xf numFmtId="0" fontId="59" fillId="0" borderId="15" xfId="2" applyFont="1" applyBorder="1" applyAlignment="1">
      <alignment horizontal="center"/>
    </xf>
    <xf numFmtId="0" fontId="59" fillId="0" borderId="9" xfId="2" applyFont="1" applyBorder="1" applyAlignment="1">
      <alignment horizontal="center"/>
    </xf>
    <xf numFmtId="0" fontId="59" fillId="0" borderId="3" xfId="2" applyFont="1" applyBorder="1" applyAlignment="1">
      <alignment horizontal="center"/>
    </xf>
    <xf numFmtId="0" fontId="59" fillId="0" borderId="4" xfId="2" applyFont="1" applyBorder="1" applyAlignment="1">
      <alignment horizontal="center"/>
    </xf>
    <xf numFmtId="0" fontId="59"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34" fillId="0" borderId="1" xfId="0" applyFont="1" applyBorder="1" applyAlignment="1">
      <alignment horizontal="center" vertical="center" wrapText="1"/>
    </xf>
    <xf numFmtId="0" fontId="34" fillId="0" borderId="0" xfId="0" applyFont="1" applyAlignment="1">
      <alignment horizontal="center" vertical="center" wrapText="1"/>
    </xf>
    <xf numFmtId="43" fontId="34" fillId="0" borderId="1" xfId="1" applyFont="1" applyBorder="1" applyAlignment="1">
      <alignment horizontal="center" vertical="center" wrapText="1"/>
    </xf>
    <xf numFmtId="0" fontId="34" fillId="0" borderId="11" xfId="0" applyFont="1" applyBorder="1" applyAlignment="1">
      <alignment horizontal="center" vertical="center" wrapText="1"/>
    </xf>
    <xf numFmtId="0" fontId="34" fillId="2" borderId="1" xfId="0" applyFont="1" applyFill="1" applyBorder="1" applyAlignment="1">
      <alignment horizontal="center" vertical="center" wrapText="1"/>
    </xf>
    <xf numFmtId="0" fontId="78" fillId="8" borderId="0" xfId="0" applyFont="1" applyFill="1" applyAlignment="1">
      <alignment horizontal="center"/>
    </xf>
    <xf numFmtId="0" fontId="78" fillId="8" borderId="0" xfId="0" applyFont="1" applyFill="1" applyAlignment="1">
      <alignment horizontal="left" vertical="center" wrapText="1"/>
    </xf>
    <xf numFmtId="0" fontId="56" fillId="5" borderId="15" xfId="0" applyFont="1" applyFill="1" applyBorder="1" applyAlignment="1">
      <alignment horizontal="center" vertical="center" wrapText="1"/>
    </xf>
    <xf numFmtId="0" fontId="56" fillId="5" borderId="9" xfId="0" applyFont="1" applyFill="1" applyBorder="1" applyAlignment="1">
      <alignment horizontal="center" vertical="center" wrapText="1"/>
    </xf>
    <xf numFmtId="0" fontId="64" fillId="5" borderId="7" xfId="0" applyFont="1" applyFill="1" applyBorder="1" applyAlignment="1">
      <alignment horizontal="center" vertical="center" wrapText="1"/>
    </xf>
    <xf numFmtId="0" fontId="64" fillId="5" borderId="8" xfId="0" applyFont="1" applyFill="1" applyBorder="1" applyAlignment="1">
      <alignment horizontal="center" vertical="center" wrapText="1"/>
    </xf>
    <xf numFmtId="0" fontId="62" fillId="4" borderId="8" xfId="0" applyFont="1" applyFill="1" applyBorder="1" applyAlignment="1">
      <alignment horizontal="center" vertical="center" wrapText="1"/>
    </xf>
    <xf numFmtId="0" fontId="62" fillId="4" borderId="13" xfId="0" applyFont="1" applyFill="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7" fillId="0" borderId="0" xfId="0" applyFont="1" applyAlignment="1">
      <alignment horizontal="left" vertical="center"/>
    </xf>
    <xf numFmtId="0" fontId="8" fillId="0" borderId="0" xfId="0" applyFont="1" applyAlignment="1">
      <alignment horizontal="center"/>
    </xf>
    <xf numFmtId="0" fontId="55" fillId="0" borderId="0" xfId="0" applyFont="1" applyAlignment="1">
      <alignment horizontal="left"/>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67" fillId="0" borderId="8" xfId="0" applyFont="1" applyBorder="1" applyAlignment="1">
      <alignment horizontal="center" vertical="center" wrapText="1"/>
    </xf>
    <xf numFmtId="0" fontId="67" fillId="0" borderId="13" xfId="0" applyFont="1" applyBorder="1" applyAlignment="1">
      <alignment horizontal="center" vertical="center" wrapText="1"/>
    </xf>
    <xf numFmtId="0" fontId="17" fillId="0" borderId="1" xfId="0" applyFont="1" applyBorder="1" applyAlignment="1">
      <alignment horizontal="left" vertical="center" wrapText="1"/>
    </xf>
    <xf numFmtId="0" fontId="27" fillId="0" borderId="10" xfId="0" applyFont="1" applyBorder="1" applyAlignment="1">
      <alignment horizontal="center"/>
    </xf>
    <xf numFmtId="0" fontId="27" fillId="0" borderId="15" xfId="0" applyFont="1" applyBorder="1" applyAlignment="1">
      <alignment horizontal="center"/>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59" fillId="0" borderId="21" xfId="0" applyFont="1" applyBorder="1" applyAlignment="1">
      <alignment horizontal="center"/>
    </xf>
    <xf numFmtId="0" fontId="59" fillId="0" borderId="22" xfId="0" applyFont="1" applyBorder="1" applyAlignment="1">
      <alignment horizontal="center"/>
    </xf>
    <xf numFmtId="0" fontId="59" fillId="0" borderId="23" xfId="0" applyFont="1" applyBorder="1" applyAlignment="1">
      <alignment horizontal="center"/>
    </xf>
    <xf numFmtId="0" fontId="54" fillId="2" borderId="10" xfId="2" applyFont="1" applyFill="1" applyBorder="1" applyAlignment="1">
      <alignment horizontal="center" vertical="center" wrapText="1"/>
    </xf>
    <xf numFmtId="0" fontId="54" fillId="2" borderId="15" xfId="2" applyFont="1" applyFill="1" applyBorder="1" applyAlignment="1">
      <alignment horizontal="center" vertical="center" wrapText="1"/>
    </xf>
    <xf numFmtId="0" fontId="54" fillId="2" borderId="9" xfId="2" applyFont="1" applyFill="1" applyBorder="1" applyAlignment="1">
      <alignment horizontal="center" vertical="center" wrapText="1"/>
    </xf>
    <xf numFmtId="9" fontId="67" fillId="0" borderId="8" xfId="3" applyFont="1" applyBorder="1" applyAlignment="1">
      <alignment horizontal="center" vertical="center" wrapText="1"/>
    </xf>
    <xf numFmtId="9" fontId="67" fillId="0" borderId="13" xfId="3" applyFont="1" applyBorder="1" applyAlignment="1">
      <alignment horizontal="center"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4" fontId="27" fillId="0" borderId="0" xfId="0" applyNumberFormat="1" applyFont="1" applyAlignment="1">
      <alignment horizontal="center" vertical="center" wrapText="1"/>
    </xf>
    <xf numFmtId="0" fontId="27" fillId="0" borderId="0" xfId="0" applyFont="1" applyAlignment="1">
      <alignment horizontal="center" vertical="center" wrapText="1"/>
    </xf>
    <xf numFmtId="0" fontId="40" fillId="0" borderId="1" xfId="0" applyFont="1" applyBorder="1" applyAlignment="1">
      <alignment horizontal="right"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0" xfId="0" quotePrefix="1" applyNumberFormat="1" applyFont="1" applyAlignment="1">
      <alignment horizontal="center" vertical="center" wrapText="1"/>
    </xf>
    <xf numFmtId="4" fontId="41" fillId="0" borderId="0" xfId="0" quotePrefix="1" applyNumberFormat="1" applyFont="1" applyAlignment="1">
      <alignment horizontal="center"/>
    </xf>
    <xf numFmtId="4" fontId="41" fillId="0" borderId="0" xfId="0" applyNumberFormat="1" applyFont="1" applyAlignment="1">
      <alignment horizontal="center"/>
    </xf>
    <xf numFmtId="0" fontId="3" fillId="0" borderId="1" xfId="0" applyFont="1" applyBorder="1" applyAlignment="1">
      <alignment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17" fillId="0" borderId="1" xfId="0" applyFont="1" applyBorder="1" applyAlignment="1">
      <alignment horizontal="center" vertical="center" wrapText="1"/>
    </xf>
    <xf numFmtId="0" fontId="64" fillId="6" borderId="4" xfId="0" applyFont="1" applyFill="1" applyBorder="1" applyAlignment="1">
      <alignment horizontal="center" vertical="center" wrapText="1"/>
    </xf>
    <xf numFmtId="0" fontId="64" fillId="6" borderId="5" xfId="0" applyFont="1" applyFill="1" applyBorder="1" applyAlignment="1">
      <alignment horizontal="center" vertical="center" wrapText="1"/>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5"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76" fillId="8" borderId="15" xfId="0" applyFont="1" applyFill="1" applyBorder="1" applyAlignment="1">
      <alignment horizontal="center" vertical="center" wrapText="1"/>
    </xf>
    <xf numFmtId="175"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3" fillId="0" borderId="1" xfId="0" applyFont="1" applyBorder="1" applyAlignment="1">
      <alignment horizont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0" fontId="35" fillId="0" borderId="15" xfId="0" applyFont="1" applyBorder="1" applyAlignment="1">
      <alignment horizontal="center" vertical="center" wrapText="1"/>
    </xf>
    <xf numFmtId="0" fontId="0" fillId="0" borderId="1" xfId="0" applyBorder="1" applyAlignment="1">
      <alignment horizontal="center"/>
    </xf>
    <xf numFmtId="0" fontId="34" fillId="0" borderId="10" xfId="0" applyFont="1" applyBorder="1" applyAlignment="1">
      <alignment horizontal="center"/>
    </xf>
    <xf numFmtId="0" fontId="34" fillId="0" borderId="9"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0" fontId="50" fillId="0" borderId="15" xfId="0" applyFont="1" applyBorder="1"/>
    <xf numFmtId="0" fontId="50" fillId="0" borderId="9" xfId="0" applyFont="1" applyBorder="1"/>
    <xf numFmtId="0" fontId="33" fillId="0" borderId="9" xfId="0" applyFont="1" applyBorder="1"/>
    <xf numFmtId="0" fontId="33" fillId="0" borderId="1" xfId="0" applyFont="1" applyBorder="1"/>
    <xf numFmtId="0" fontId="50" fillId="0" borderId="1" xfId="0" applyFont="1" applyBorder="1" applyAlignment="1">
      <alignment horizontal="left"/>
    </xf>
    <xf numFmtId="43" fontId="33" fillId="0" borderId="8" xfId="1" applyFont="1" applyBorder="1" applyAlignment="1">
      <alignment horizontal="center"/>
    </xf>
    <xf numFmtId="43" fontId="33" fillId="0" borderId="13" xfId="1" applyFont="1" applyBorder="1" applyAlignment="1">
      <alignment horizontal="center"/>
    </xf>
    <xf numFmtId="0" fontId="50" fillId="0" borderId="1" xfId="0" applyFont="1" applyBorder="1"/>
  </cellXfs>
  <cellStyles count="4">
    <cellStyle name="Milliers" xfId="1" builtinId="3"/>
    <cellStyle name="Normal" xfId="0" builtinId="0"/>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0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0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17</xdr:row>
      <xdr:rowOff>425</xdr:rowOff>
    </xdr:to>
    <xdr:pic>
      <xdr:nvPicPr>
        <xdr:cNvPr id="2" name="Image 1">
          <a:extLst>
            <a:ext uri="{FF2B5EF4-FFF2-40B4-BE49-F238E27FC236}">
              <a16:creationId xmlns:a16="http://schemas.microsoft.com/office/drawing/2014/main" id="{933AFBD3-DFFE-48FE-AFC7-AFA3450FF099}"/>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401098</xdr:colOff>
      <xdr:row>17</xdr:row>
      <xdr:rowOff>425</xdr:rowOff>
    </xdr:to>
    <xdr:pic>
      <xdr:nvPicPr>
        <xdr:cNvPr id="2" name="Image 1">
          <a:extLst>
            <a:ext uri="{FF2B5EF4-FFF2-40B4-BE49-F238E27FC236}">
              <a16:creationId xmlns:a16="http://schemas.microsoft.com/office/drawing/2014/main" id="{16EA79ED-010E-4435-831F-DBC44EF9CA01}"/>
            </a:ext>
          </a:extLst>
        </xdr:cNvPr>
        <xdr:cNvPicPr>
          <a:picLocks noChangeAspect="1"/>
        </xdr:cNvPicPr>
      </xdr:nvPicPr>
      <xdr:blipFill>
        <a:blip xmlns:r="http://schemas.openxmlformats.org/officeDocument/2006/relationships" r:embed="rId1"/>
        <a:stretch>
          <a:fillRect/>
        </a:stretch>
      </xdr:blipFill>
      <xdr:spPr>
        <a:xfrm>
          <a:off x="762000" y="190500"/>
          <a:ext cx="7506748" cy="3048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B42" workbookViewId="0">
      <selection activeCell="C2" sqref="C2:D2"/>
    </sheetView>
  </sheetViews>
  <sheetFormatPr baseColWidth="10" defaultColWidth="11.42578125" defaultRowHeight="15.75" x14ac:dyDescent="0.25"/>
  <cols>
    <col min="1" max="1" width="4.85546875" style="28" customWidth="1"/>
    <col min="2" max="2" width="2.42578125" style="28" customWidth="1"/>
    <col min="3" max="3" width="31.5703125" style="28" customWidth="1"/>
    <col min="4" max="4" width="29.5703125" style="28" customWidth="1"/>
    <col min="5" max="5" width="28.5703125" style="28" customWidth="1"/>
    <col min="6" max="6" width="5.140625" style="28" customWidth="1"/>
    <col min="7" max="7" width="33.28515625" style="189" customWidth="1"/>
    <col min="8" max="8" width="18.42578125" style="189" customWidth="1"/>
    <col min="9" max="10" width="11.42578125" style="28" hidden="1" customWidth="1"/>
    <col min="11" max="11" width="19.140625" style="28" hidden="1" customWidth="1"/>
    <col min="12" max="16384" width="11.42578125" style="28"/>
  </cols>
  <sheetData>
    <row r="1" spans="3:13" ht="12.75" customHeight="1" x14ac:dyDescent="0.25"/>
    <row r="2" spans="3:13" x14ac:dyDescent="0.25">
      <c r="C2" s="529" t="s">
        <v>298</v>
      </c>
    </row>
    <row r="3" spans="3:13" ht="12.75" customHeight="1" x14ac:dyDescent="0.25"/>
    <row r="4" spans="3:13" ht="21.75" customHeight="1" x14ac:dyDescent="0.25">
      <c r="C4" s="388" t="s">
        <v>299</v>
      </c>
      <c r="D4" s="429"/>
      <c r="E4" s="429"/>
      <c r="F4" s="429"/>
      <c r="G4" s="552" t="s">
        <v>300</v>
      </c>
      <c r="H4" s="552"/>
    </row>
    <row r="5" spans="3:13" ht="21.75" customHeight="1" x14ac:dyDescent="0.25">
      <c r="C5" s="389" t="s">
        <v>301</v>
      </c>
      <c r="G5" s="553" t="s">
        <v>302</v>
      </c>
      <c r="H5" s="553"/>
    </row>
    <row r="6" spans="3:13" ht="21.75" customHeight="1" x14ac:dyDescent="0.25">
      <c r="C6" s="389" t="s">
        <v>303</v>
      </c>
      <c r="G6" s="554">
        <v>34464426500029</v>
      </c>
      <c r="H6" s="554"/>
    </row>
    <row r="7" spans="3:13" ht="21.75" customHeight="1" x14ac:dyDescent="0.25">
      <c r="C7" s="389" t="s">
        <v>304</v>
      </c>
      <c r="G7" s="552" t="s">
        <v>305</v>
      </c>
      <c r="H7" s="552"/>
    </row>
    <row r="8" spans="3:13" ht="51.75" customHeight="1" x14ac:dyDescent="0.25">
      <c r="C8" s="389" t="s">
        <v>306</v>
      </c>
      <c r="G8" s="547" t="s">
        <v>287</v>
      </c>
      <c r="H8" s="547"/>
    </row>
    <row r="9" spans="3:13" x14ac:dyDescent="0.25">
      <c r="C9" s="390" t="s">
        <v>307</v>
      </c>
      <c r="D9" s="430"/>
      <c r="E9" s="430"/>
      <c r="F9" s="430"/>
      <c r="G9" s="551">
        <f>'ENONCE '!E21</f>
        <v>60</v>
      </c>
      <c r="H9" s="551"/>
    </row>
    <row r="10" spans="3:13" x14ac:dyDescent="0.25">
      <c r="C10" s="542"/>
      <c r="D10" s="542"/>
      <c r="E10" s="542"/>
      <c r="F10" s="542"/>
      <c r="G10" s="542"/>
      <c r="H10" s="542"/>
    </row>
    <row r="11" spans="3:13" ht="28.5" customHeight="1" x14ac:dyDescent="0.25">
      <c r="C11" s="391"/>
      <c r="D11" s="392"/>
      <c r="E11" s="544" t="s">
        <v>59</v>
      </c>
      <c r="F11" s="544"/>
      <c r="G11" s="393" t="s">
        <v>82</v>
      </c>
      <c r="H11" s="393" t="s">
        <v>83</v>
      </c>
    </row>
    <row r="12" spans="3:13" ht="24" customHeight="1" x14ac:dyDescent="0.25">
      <c r="C12" s="543" t="s">
        <v>378</v>
      </c>
      <c r="D12" s="543"/>
      <c r="E12" s="545"/>
      <c r="F12" s="546"/>
      <c r="G12" s="504">
        <f>+'ENONCE '!E13</f>
        <v>1.4999999999999999E-2</v>
      </c>
      <c r="H12" s="504">
        <f>+'ENONCE '!G13</f>
        <v>0.02</v>
      </c>
      <c r="I12" s="396"/>
      <c r="J12" s="396"/>
      <c r="K12" s="396"/>
      <c r="L12" s="396"/>
      <c r="M12" s="396"/>
    </row>
    <row r="13" spans="3:13" ht="24" customHeight="1" x14ac:dyDescent="0.25">
      <c r="C13" s="543" t="s">
        <v>379</v>
      </c>
      <c r="D13" s="543"/>
      <c r="E13" s="543"/>
      <c r="F13" s="543"/>
      <c r="G13" s="504">
        <f>+'ENONCE '!E15</f>
        <v>0.01</v>
      </c>
      <c r="H13" s="504">
        <f>+'ENONCE '!G15</f>
        <v>0.02</v>
      </c>
      <c r="I13" s="396"/>
      <c r="J13" s="396"/>
      <c r="K13" s="396"/>
      <c r="L13" s="396"/>
      <c r="M13" s="396"/>
    </row>
    <row r="14" spans="3:13" ht="24" customHeight="1" x14ac:dyDescent="0.25">
      <c r="C14" s="543" t="s">
        <v>404</v>
      </c>
      <c r="D14" s="543"/>
      <c r="E14" s="543"/>
      <c r="F14" s="543"/>
      <c r="G14" s="395"/>
      <c r="H14" s="395">
        <v>3.0000000000000001E-3</v>
      </c>
      <c r="I14" s="396"/>
      <c r="J14" s="396"/>
      <c r="K14" s="396"/>
      <c r="L14" s="396"/>
      <c r="M14" s="396"/>
    </row>
    <row r="15" spans="3:13" ht="24" customHeight="1" x14ac:dyDescent="0.25">
      <c r="C15" s="543" t="s">
        <v>194</v>
      </c>
      <c r="D15" s="543"/>
      <c r="E15" s="543" t="s">
        <v>308</v>
      </c>
      <c r="F15" s="543"/>
      <c r="G15" s="395"/>
      <c r="H15" s="395"/>
      <c r="I15" s="396"/>
      <c r="J15" s="396"/>
      <c r="K15" s="396"/>
      <c r="L15" s="396"/>
      <c r="M15" s="396"/>
    </row>
    <row r="16" spans="3:13" ht="20.25" customHeight="1" x14ac:dyDescent="0.25">
      <c r="C16" s="543" t="s">
        <v>309</v>
      </c>
      <c r="D16" s="543"/>
      <c r="E16" s="543" t="s">
        <v>308</v>
      </c>
      <c r="F16" s="543"/>
      <c r="G16" s="395"/>
      <c r="H16" s="395"/>
      <c r="I16" s="396"/>
      <c r="J16" s="396"/>
      <c r="K16" s="396"/>
      <c r="L16" s="396"/>
      <c r="M16" s="396"/>
    </row>
    <row r="17" spans="3:13" ht="20.25" customHeight="1" x14ac:dyDescent="0.25">
      <c r="C17" s="543" t="s">
        <v>385</v>
      </c>
      <c r="D17" s="543"/>
      <c r="E17" s="543"/>
      <c r="F17" s="543"/>
      <c r="G17" s="395"/>
      <c r="H17" s="395"/>
      <c r="I17" s="396"/>
      <c r="J17" s="396"/>
      <c r="K17" s="396"/>
      <c r="L17" s="396"/>
      <c r="M17" s="396"/>
    </row>
    <row r="18" spans="3:13" ht="20.25" customHeight="1" x14ac:dyDescent="0.25">
      <c r="C18" s="543" t="s">
        <v>380</v>
      </c>
      <c r="D18" s="543"/>
      <c r="E18" s="543" t="s">
        <v>381</v>
      </c>
      <c r="F18" s="543"/>
      <c r="G18" s="395"/>
      <c r="H18" s="395">
        <v>1.4999999999999999E-2</v>
      </c>
      <c r="I18" s="396"/>
      <c r="J18" s="396"/>
      <c r="K18" s="396"/>
      <c r="L18" s="396"/>
      <c r="M18" s="396"/>
    </row>
    <row r="19" spans="3:13" ht="20.25" hidden="1" customHeight="1" x14ac:dyDescent="0.25">
      <c r="C19" s="543"/>
      <c r="D19" s="543"/>
      <c r="E19" s="543"/>
      <c r="F19" s="543"/>
      <c r="G19" s="395"/>
      <c r="H19" s="395"/>
      <c r="I19" s="396"/>
      <c r="J19" s="396"/>
      <c r="K19" s="396"/>
      <c r="L19" s="397" t="s">
        <v>310</v>
      </c>
      <c r="M19" s="396"/>
    </row>
    <row r="20" spans="3:13" ht="20.25" hidden="1" customHeight="1" x14ac:dyDescent="0.25">
      <c r="C20" s="543"/>
      <c r="D20" s="543"/>
      <c r="E20" s="545"/>
      <c r="F20" s="546"/>
      <c r="G20" s="395"/>
      <c r="H20" s="395"/>
      <c r="I20" s="396"/>
      <c r="J20" s="396"/>
      <c r="K20" s="396"/>
      <c r="L20" s="397"/>
      <c r="M20" s="396"/>
    </row>
    <row r="21" spans="3:13" ht="20.25" customHeight="1" x14ac:dyDescent="0.25">
      <c r="C21" s="543" t="s">
        <v>311</v>
      </c>
      <c r="D21" s="543"/>
      <c r="E21" s="543" t="s">
        <v>308</v>
      </c>
      <c r="F21" s="543"/>
      <c r="G21" s="395"/>
      <c r="H21" s="504">
        <f>'ENONCE '!E9</f>
        <v>1.4999999999999999E-2</v>
      </c>
      <c r="I21" s="396"/>
      <c r="J21" s="396"/>
      <c r="K21" s="396"/>
      <c r="L21" s="396"/>
      <c r="M21" s="396"/>
    </row>
    <row r="22" spans="3:13" ht="20.25" customHeight="1" x14ac:dyDescent="0.25">
      <c r="C22" s="543" t="s">
        <v>312</v>
      </c>
      <c r="D22" s="543"/>
      <c r="E22" s="543" t="s">
        <v>308</v>
      </c>
      <c r="F22" s="543"/>
      <c r="G22" s="395"/>
      <c r="H22" s="504">
        <f>'ENONCE '!E11</f>
        <v>3.2000000000000001E-2</v>
      </c>
      <c r="I22" s="396"/>
      <c r="J22" s="396"/>
      <c r="K22" s="396"/>
      <c r="L22" s="396"/>
      <c r="M22" s="396"/>
    </row>
    <row r="23" spans="3:13" ht="16.5" customHeight="1" x14ac:dyDescent="0.25">
      <c r="G23" s="398"/>
      <c r="H23" s="398"/>
      <c r="I23" s="396"/>
      <c r="J23" s="396"/>
      <c r="K23" s="396"/>
      <c r="L23" s="396"/>
      <c r="M23" s="396"/>
    </row>
    <row r="24" spans="3:13" x14ac:dyDescent="0.25">
      <c r="G24" s="398"/>
      <c r="H24" s="398"/>
      <c r="I24" s="396"/>
      <c r="J24" s="396"/>
      <c r="K24" s="396"/>
      <c r="L24" s="399"/>
      <c r="M24" s="396"/>
    </row>
    <row r="25" spans="3:13" x14ac:dyDescent="0.25">
      <c r="G25" s="398"/>
      <c r="H25" s="398"/>
      <c r="I25" s="396"/>
      <c r="J25" s="396"/>
      <c r="K25" s="396"/>
      <c r="L25" s="399"/>
      <c r="M25" s="396"/>
    </row>
    <row r="26" spans="3:13" x14ac:dyDescent="0.25">
      <c r="C26" s="388" t="s">
        <v>313</v>
      </c>
      <c r="D26" s="400"/>
      <c r="E26" s="386" t="s">
        <v>192</v>
      </c>
    </row>
    <row r="27" spans="3:13" x14ac:dyDescent="0.25">
      <c r="C27" s="389" t="s">
        <v>314</v>
      </c>
      <c r="D27" s="401"/>
      <c r="E27" s="52" t="s">
        <v>315</v>
      </c>
    </row>
    <row r="28" spans="3:13" x14ac:dyDescent="0.25">
      <c r="C28" s="389" t="s">
        <v>301</v>
      </c>
      <c r="D28" s="401"/>
      <c r="E28" s="402" t="s">
        <v>316</v>
      </c>
    </row>
    <row r="29" spans="3:13" x14ac:dyDescent="0.25">
      <c r="C29" s="389" t="s">
        <v>317</v>
      </c>
      <c r="D29" s="401"/>
      <c r="E29" s="52" t="s">
        <v>393</v>
      </c>
    </row>
    <row r="30" spans="3:13" x14ac:dyDescent="0.25">
      <c r="C30" s="389" t="s">
        <v>318</v>
      </c>
      <c r="D30" s="401"/>
      <c r="E30" s="52">
        <v>450</v>
      </c>
    </row>
    <row r="31" spans="3:13" x14ac:dyDescent="0.25">
      <c r="C31" s="389" t="s">
        <v>319</v>
      </c>
      <c r="D31" s="401"/>
      <c r="E31" s="394" t="s">
        <v>320</v>
      </c>
    </row>
    <row r="32" spans="3:13" x14ac:dyDescent="0.25">
      <c r="C32" s="389" t="s">
        <v>321</v>
      </c>
      <c r="D32" s="401"/>
      <c r="E32" s="485" t="s">
        <v>405</v>
      </c>
    </row>
    <row r="33" spans="3:6" x14ac:dyDescent="0.25">
      <c r="C33" s="389" t="s">
        <v>322</v>
      </c>
      <c r="D33" s="401"/>
      <c r="E33" s="485">
        <v>1</v>
      </c>
    </row>
    <row r="34" spans="3:6" x14ac:dyDescent="0.25">
      <c r="C34" s="390" t="s">
        <v>382</v>
      </c>
      <c r="D34" s="403"/>
      <c r="E34" s="52"/>
    </row>
    <row r="35" spans="3:6" hidden="1" x14ac:dyDescent="0.25"/>
    <row r="36" spans="3:6" x14ac:dyDescent="0.25">
      <c r="E36" s="396"/>
    </row>
    <row r="37" spans="3:6" ht="24" customHeight="1" x14ac:dyDescent="0.25">
      <c r="C37" s="548" t="s">
        <v>84</v>
      </c>
      <c r="D37" s="549"/>
      <c r="E37" s="386" t="s">
        <v>192</v>
      </c>
      <c r="F37" s="396"/>
    </row>
    <row r="38" spans="3:6" ht="24" customHeight="1" x14ac:dyDescent="0.25">
      <c r="C38" s="388" t="s">
        <v>323</v>
      </c>
      <c r="D38" s="400"/>
      <c r="E38" s="480">
        <v>46023</v>
      </c>
      <c r="F38" s="404"/>
    </row>
    <row r="39" spans="3:6" ht="24" customHeight="1" x14ac:dyDescent="0.25">
      <c r="C39" s="389" t="s">
        <v>324</v>
      </c>
      <c r="D39" s="401"/>
      <c r="E39" s="480">
        <v>46053</v>
      </c>
      <c r="F39" s="404"/>
    </row>
    <row r="40" spans="3:6" ht="24" customHeight="1" x14ac:dyDescent="0.25">
      <c r="C40" s="389" t="s">
        <v>325</v>
      </c>
      <c r="D40" s="401"/>
      <c r="E40" s="480">
        <v>46053</v>
      </c>
      <c r="F40" s="404"/>
    </row>
    <row r="41" spans="3:6" ht="24" customHeight="1" x14ac:dyDescent="0.25">
      <c r="C41" s="389" t="s">
        <v>297</v>
      </c>
      <c r="D41" s="401"/>
      <c r="E41" s="481" t="str">
        <f>'ENONCE '!E5</f>
        <v>?</v>
      </c>
      <c r="F41" s="405"/>
    </row>
    <row r="42" spans="3:6" ht="24" customHeight="1" x14ac:dyDescent="0.25">
      <c r="C42" s="389" t="s">
        <v>296</v>
      </c>
      <c r="D42" s="401"/>
      <c r="E42" s="481">
        <v>151.66999999999999</v>
      </c>
      <c r="F42" s="405"/>
    </row>
    <row r="43" spans="3:6" ht="24" customHeight="1" x14ac:dyDescent="0.25">
      <c r="C43" s="389" t="s">
        <v>285</v>
      </c>
      <c r="D43" s="401"/>
      <c r="E43" s="482">
        <f>+'TABLE DES TAUX 2026'!C54</f>
        <v>12.02</v>
      </c>
      <c r="F43" s="405"/>
    </row>
    <row r="44" spans="3:6" ht="24" customHeight="1" x14ac:dyDescent="0.25">
      <c r="C44" s="389" t="s">
        <v>326</v>
      </c>
      <c r="D44" s="401"/>
      <c r="E44" s="481">
        <f>+'TABLE DES TAUX 2026'!C51</f>
        <v>4005</v>
      </c>
      <c r="F44" s="405"/>
    </row>
    <row r="45" spans="3:6" ht="19.5" customHeight="1" x14ac:dyDescent="0.25">
      <c r="C45" s="389" t="s">
        <v>383</v>
      </c>
      <c r="D45" s="401"/>
      <c r="E45" s="481"/>
      <c r="F45" s="405"/>
    </row>
    <row r="46" spans="3:6" ht="19.5" customHeight="1" x14ac:dyDescent="0.25">
      <c r="C46" s="389" t="s">
        <v>13</v>
      </c>
      <c r="D46" s="401"/>
      <c r="E46" s="483">
        <v>151.66999999999999</v>
      </c>
      <c r="F46" s="406"/>
    </row>
    <row r="47" spans="3:6" ht="19.5" customHeight="1" x14ac:dyDescent="0.25">
      <c r="C47" s="389" t="s">
        <v>327</v>
      </c>
      <c r="D47" s="401"/>
      <c r="E47" s="481">
        <v>22</v>
      </c>
      <c r="F47" s="406"/>
    </row>
    <row r="48" spans="3:6" ht="19.5" customHeight="1" x14ac:dyDescent="0.25">
      <c r="C48" s="389" t="s">
        <v>328</v>
      </c>
      <c r="D48" s="401"/>
      <c r="E48" s="481">
        <v>6</v>
      </c>
      <c r="F48" s="407"/>
    </row>
    <row r="49" spans="2:6" ht="19.5" customHeight="1" x14ac:dyDescent="0.25">
      <c r="C49" s="389" t="s">
        <v>329</v>
      </c>
      <c r="D49" s="401"/>
      <c r="E49" s="481">
        <v>6</v>
      </c>
      <c r="F49" s="407"/>
    </row>
    <row r="50" spans="2:6" ht="19.5" customHeight="1" x14ac:dyDescent="0.25">
      <c r="C50" s="389" t="s">
        <v>330</v>
      </c>
      <c r="D50" s="401"/>
      <c r="E50" s="481">
        <f>'TABLE DES TAUX 2026'!C66/2</f>
        <v>45.4</v>
      </c>
      <c r="F50" s="407"/>
    </row>
    <row r="51" spans="2:6" ht="19.5" customHeight="1" x14ac:dyDescent="0.25">
      <c r="C51" s="390" t="s">
        <v>384</v>
      </c>
      <c r="D51" s="403"/>
      <c r="E51" s="461"/>
      <c r="F51" s="407"/>
    </row>
    <row r="52" spans="2:6" ht="19.5" hidden="1" customHeight="1" x14ac:dyDescent="0.25">
      <c r="B52" s="387" t="s">
        <v>331</v>
      </c>
      <c r="E52" s="408">
        <v>211</v>
      </c>
    </row>
    <row r="53" spans="2:6" ht="24" hidden="1" customHeight="1" x14ac:dyDescent="0.25"/>
    <row r="54" spans="2:6" ht="24" hidden="1" customHeight="1" x14ac:dyDescent="0.25">
      <c r="C54" s="28" t="s">
        <v>332</v>
      </c>
    </row>
    <row r="55" spans="2:6" ht="24" hidden="1" customHeight="1" x14ac:dyDescent="0.25"/>
    <row r="56" spans="2:6" ht="24" hidden="1" customHeight="1" x14ac:dyDescent="0.25">
      <c r="D56" s="28" t="s">
        <v>333</v>
      </c>
    </row>
    <row r="57" spans="2:6" ht="24" hidden="1" customHeight="1" x14ac:dyDescent="0.25"/>
    <row r="58" spans="2:6" ht="24" hidden="1" customHeight="1" x14ac:dyDescent="0.25">
      <c r="D58" s="28" t="s">
        <v>334</v>
      </c>
    </row>
    <row r="59" spans="2:6" ht="24" hidden="1" customHeight="1" x14ac:dyDescent="0.25"/>
    <row r="60" spans="2:6" ht="24" hidden="1" customHeight="1" x14ac:dyDescent="0.25">
      <c r="C60" s="28" t="s">
        <v>335</v>
      </c>
    </row>
    <row r="61" spans="2:6" ht="24" hidden="1" customHeight="1" x14ac:dyDescent="0.25"/>
    <row r="62" spans="2:6" ht="24" hidden="1" customHeight="1" x14ac:dyDescent="0.25">
      <c r="D62" s="28" t="s">
        <v>336</v>
      </c>
    </row>
    <row r="63" spans="2:6" ht="24" hidden="1" customHeight="1" x14ac:dyDescent="0.25">
      <c r="D63" s="28" t="s">
        <v>337</v>
      </c>
    </row>
    <row r="64" spans="2:6" ht="24" hidden="1" customHeight="1" x14ac:dyDescent="0.25">
      <c r="D64" s="28" t="s">
        <v>338</v>
      </c>
    </row>
    <row r="65" spans="1:11" ht="24" hidden="1" customHeight="1" x14ac:dyDescent="0.25">
      <c r="D65" s="28" t="s">
        <v>339</v>
      </c>
    </row>
    <row r="66" spans="1:11" ht="24" hidden="1" customHeight="1" x14ac:dyDescent="0.25">
      <c r="D66" s="28" t="s">
        <v>340</v>
      </c>
    </row>
    <row r="67" spans="1:11" ht="24" hidden="1" customHeight="1" x14ac:dyDescent="0.25"/>
    <row r="68" spans="1:11" ht="24" hidden="1" customHeight="1" x14ac:dyDescent="0.25">
      <c r="C68" s="28" t="s">
        <v>341</v>
      </c>
    </row>
    <row r="69" spans="1:11" ht="24" hidden="1" customHeight="1" x14ac:dyDescent="0.25">
      <c r="C69" s="28" t="s">
        <v>342</v>
      </c>
    </row>
    <row r="70" spans="1:11" ht="24" hidden="1" customHeight="1" x14ac:dyDescent="0.25"/>
    <row r="71" spans="1:11" ht="24" hidden="1" customHeight="1" x14ac:dyDescent="0.25">
      <c r="D71" s="28" t="s">
        <v>343</v>
      </c>
    </row>
    <row r="72" spans="1:11" ht="24" hidden="1" customHeight="1" x14ac:dyDescent="0.25"/>
    <row r="73" spans="1:11" ht="24" hidden="1" customHeight="1" x14ac:dyDescent="0.25">
      <c r="C73" s="28" t="s">
        <v>344</v>
      </c>
    </row>
    <row r="74" spans="1:11" ht="24" hidden="1" customHeight="1" x14ac:dyDescent="0.25"/>
    <row r="75" spans="1:11" ht="24" hidden="1" customHeight="1" x14ac:dyDescent="0.25">
      <c r="E75" s="394" t="s">
        <v>59</v>
      </c>
      <c r="F75" s="394" t="s">
        <v>345</v>
      </c>
      <c r="G75" s="394" t="s">
        <v>87</v>
      </c>
      <c r="H75" s="394" t="s">
        <v>346</v>
      </c>
      <c r="I75" s="394" t="s">
        <v>81</v>
      </c>
    </row>
    <row r="76" spans="1:11" ht="24" hidden="1" customHeight="1" x14ac:dyDescent="0.25">
      <c r="B76" s="394" t="s">
        <v>347</v>
      </c>
      <c r="C76" s="547" t="s">
        <v>50</v>
      </c>
      <c r="D76" s="547"/>
      <c r="E76" s="409"/>
      <c r="F76" s="410">
        <v>6.8000000000000005E-2</v>
      </c>
      <c r="G76" s="409"/>
      <c r="H76" s="409"/>
      <c r="I76" s="409"/>
      <c r="J76" s="411"/>
      <c r="K76" s="411"/>
    </row>
    <row r="77" spans="1:11" ht="24" hidden="1" customHeight="1" x14ac:dyDescent="0.25">
      <c r="B77" s="394" t="s">
        <v>348</v>
      </c>
      <c r="C77" s="547" t="s">
        <v>51</v>
      </c>
      <c r="D77" s="547"/>
      <c r="E77" s="409"/>
      <c r="F77" s="410">
        <v>6.8000000000000005E-2</v>
      </c>
      <c r="G77" s="409"/>
      <c r="H77" s="409"/>
      <c r="I77" s="409"/>
      <c r="J77" s="411"/>
      <c r="K77" s="411"/>
    </row>
    <row r="78" spans="1:11" ht="24" hidden="1" customHeight="1" x14ac:dyDescent="0.25">
      <c r="B78" s="394" t="s">
        <v>349</v>
      </c>
      <c r="C78" s="547" t="s">
        <v>52</v>
      </c>
      <c r="D78" s="547"/>
      <c r="E78" s="409"/>
      <c r="F78" s="410">
        <v>2.9000000000000001E-2</v>
      </c>
      <c r="G78" s="409"/>
      <c r="H78" s="409"/>
      <c r="I78" s="409"/>
      <c r="J78" s="411"/>
      <c r="K78" s="411"/>
    </row>
    <row r="79" spans="1:11" ht="24" hidden="1" customHeight="1" x14ac:dyDescent="0.25">
      <c r="A79" s="550"/>
      <c r="B79" s="550"/>
      <c r="E79" s="409"/>
      <c r="F79" s="409"/>
      <c r="G79" s="409"/>
      <c r="H79" s="409"/>
      <c r="I79" s="412"/>
      <c r="J79" s="411"/>
      <c r="K79" s="411"/>
    </row>
    <row r="80" spans="1:11" ht="24" hidden="1" customHeight="1" x14ac:dyDescent="0.25">
      <c r="B80" s="394" t="s">
        <v>340</v>
      </c>
      <c r="C80" s="547" t="s">
        <v>53</v>
      </c>
      <c r="D80" s="547"/>
      <c r="E80" s="409"/>
      <c r="F80" s="413"/>
      <c r="G80" s="414"/>
      <c r="H80" s="415"/>
      <c r="I80" s="412"/>
      <c r="J80" s="411"/>
      <c r="K80" s="411"/>
    </row>
    <row r="81" spans="2:11" ht="24" hidden="1" customHeight="1" x14ac:dyDescent="0.25">
      <c r="B81" s="416"/>
      <c r="C81" s="417"/>
      <c r="D81" s="417"/>
      <c r="E81" s="418"/>
      <c r="F81" s="419"/>
      <c r="G81" s="420"/>
      <c r="H81" s="421"/>
      <c r="I81" s="422"/>
      <c r="J81" s="411"/>
      <c r="K81" s="411"/>
    </row>
    <row r="82" spans="2:11" ht="24" hidden="1" customHeight="1" x14ac:dyDescent="0.25">
      <c r="C82" s="28" t="s">
        <v>350</v>
      </c>
    </row>
    <row r="83" spans="2:11" ht="24" hidden="1" customHeight="1" x14ac:dyDescent="0.25"/>
    <row r="84" spans="2:11" ht="24" hidden="1" customHeight="1" x14ac:dyDescent="0.25">
      <c r="D84" s="28" t="s">
        <v>351</v>
      </c>
    </row>
    <row r="85" spans="2:11" ht="24" hidden="1" customHeight="1" x14ac:dyDescent="0.25"/>
    <row r="86" spans="2:11" ht="24" hidden="1" customHeight="1" x14ac:dyDescent="0.25">
      <c r="B86" s="28" t="s">
        <v>352</v>
      </c>
    </row>
    <row r="87" spans="2:11" ht="24" hidden="1" customHeight="1" x14ac:dyDescent="0.25"/>
    <row r="88" spans="2:11" ht="24" hidden="1" customHeight="1" x14ac:dyDescent="0.25">
      <c r="C88" s="28" t="s">
        <v>353</v>
      </c>
    </row>
    <row r="89" spans="2:11" ht="24" hidden="1" customHeight="1" x14ac:dyDescent="0.25"/>
    <row r="90" spans="2:11" ht="24" hidden="1" customHeight="1" x14ac:dyDescent="0.25">
      <c r="D90" s="28" t="s">
        <v>354</v>
      </c>
    </row>
    <row r="91" spans="2:11" ht="24" hidden="1" customHeight="1" x14ac:dyDescent="0.25">
      <c r="D91" s="28" t="s">
        <v>333</v>
      </c>
    </row>
    <row r="92" spans="2:11" ht="24" hidden="1" customHeight="1" x14ac:dyDescent="0.25">
      <c r="D92" s="28" t="s">
        <v>355</v>
      </c>
    </row>
    <row r="93" spans="2:11" ht="24" hidden="1" customHeight="1" x14ac:dyDescent="0.25">
      <c r="D93" s="28" t="s">
        <v>356</v>
      </c>
    </row>
    <row r="94" spans="2:11" ht="24" hidden="1" customHeight="1" x14ac:dyDescent="0.25">
      <c r="D94" s="28" t="s">
        <v>357</v>
      </c>
    </row>
    <row r="95" spans="2:11" ht="24" hidden="1" customHeight="1" x14ac:dyDescent="0.25"/>
    <row r="96" spans="2:11" ht="24" hidden="1" customHeight="1" x14ac:dyDescent="0.25">
      <c r="C96" s="28" t="s">
        <v>358</v>
      </c>
    </row>
    <row r="97" spans="2:5" ht="24" hidden="1" customHeight="1" x14ac:dyDescent="0.25"/>
    <row r="98" spans="2:5" ht="24" hidden="1" customHeight="1" x14ac:dyDescent="0.25">
      <c r="B98" s="387" t="s">
        <v>359</v>
      </c>
      <c r="C98" s="387"/>
    </row>
    <row r="99" spans="2:5" ht="24" hidden="1" customHeight="1" x14ac:dyDescent="0.25"/>
    <row r="100" spans="2:5" ht="24" hidden="1" customHeight="1" x14ac:dyDescent="0.25">
      <c r="C100" s="423" t="s">
        <v>360</v>
      </c>
    </row>
    <row r="101" spans="2:5" ht="24" hidden="1" customHeight="1" x14ac:dyDescent="0.25"/>
    <row r="102" spans="2:5" ht="24" hidden="1" customHeight="1" x14ac:dyDescent="0.25">
      <c r="C102" s="28" t="s">
        <v>361</v>
      </c>
    </row>
    <row r="103" spans="2:5" ht="24" hidden="1" customHeight="1" x14ac:dyDescent="0.25">
      <c r="C103" s="28" t="s">
        <v>362</v>
      </c>
    </row>
    <row r="104" spans="2:5" ht="24" hidden="1" customHeight="1" x14ac:dyDescent="0.25">
      <c r="C104" s="28" t="s">
        <v>363</v>
      </c>
    </row>
    <row r="105" spans="2:5" ht="24" hidden="1" customHeight="1" x14ac:dyDescent="0.25">
      <c r="C105" s="28" t="s">
        <v>364</v>
      </c>
    </row>
    <row r="106" spans="2:5" ht="24" hidden="1" customHeight="1" x14ac:dyDescent="0.25">
      <c r="C106" s="28" t="s">
        <v>365</v>
      </c>
    </row>
    <row r="107" spans="2:5" ht="24" hidden="1" customHeight="1" x14ac:dyDescent="0.25"/>
    <row r="108" spans="2:5" ht="24" hidden="1" customHeight="1" x14ac:dyDescent="0.25"/>
    <row r="109" spans="2:5" ht="24" hidden="1" customHeight="1" x14ac:dyDescent="0.25">
      <c r="B109" s="387" t="s">
        <v>366</v>
      </c>
    </row>
    <row r="110" spans="2:5" ht="24" hidden="1" customHeight="1" x14ac:dyDescent="0.25"/>
    <row r="111" spans="2:5" ht="24" hidden="1" customHeight="1" x14ac:dyDescent="0.25">
      <c r="C111" s="28" t="s">
        <v>367</v>
      </c>
    </row>
    <row r="112" spans="2:5" ht="24" hidden="1" customHeight="1" x14ac:dyDescent="0.25">
      <c r="D112" s="28" t="s">
        <v>368</v>
      </c>
      <c r="E112" s="424">
        <v>2332</v>
      </c>
    </row>
    <row r="113" spans="3:6" ht="24" hidden="1" customHeight="1" x14ac:dyDescent="0.25">
      <c r="D113" s="28" t="s">
        <v>369</v>
      </c>
      <c r="E113" s="424">
        <v>3062</v>
      </c>
    </row>
    <row r="114" spans="3:6" ht="24" hidden="1" customHeight="1" x14ac:dyDescent="0.25"/>
    <row r="115" spans="3:6" ht="24" hidden="1" customHeight="1" x14ac:dyDescent="0.25">
      <c r="C115" s="28" t="s">
        <v>370</v>
      </c>
      <c r="D115" s="28">
        <v>8.3000000000000007</v>
      </c>
    </row>
    <row r="116" spans="3:6" ht="24" hidden="1" customHeight="1" x14ac:dyDescent="0.25">
      <c r="D116" s="28" t="s">
        <v>371</v>
      </c>
    </row>
    <row r="117" spans="3:6" ht="24" hidden="1" customHeight="1" x14ac:dyDescent="0.25">
      <c r="D117" s="28" t="s">
        <v>372</v>
      </c>
      <c r="E117" s="424">
        <f>E30</f>
        <v>450</v>
      </c>
      <c r="F117" s="28">
        <f>E117*D115</f>
        <v>3735.0000000000005</v>
      </c>
    </row>
    <row r="118" spans="3:6" ht="24" hidden="1" customHeight="1" x14ac:dyDescent="0.25">
      <c r="D118" s="28" t="s">
        <v>373</v>
      </c>
      <c r="E118" s="424" t="e">
        <f>#REF!</f>
        <v>#REF!</v>
      </c>
      <c r="F118" s="28" t="e">
        <f>D115*E118</f>
        <v>#REF!</v>
      </c>
    </row>
    <row r="119" spans="3:6" ht="24" hidden="1" customHeight="1" x14ac:dyDescent="0.25"/>
    <row r="120" spans="3:6" ht="24" hidden="1" customHeight="1" x14ac:dyDescent="0.25">
      <c r="E120" s="28" t="s">
        <v>374</v>
      </c>
    </row>
    <row r="121" spans="3:6" ht="24" hidden="1" customHeight="1" x14ac:dyDescent="0.25"/>
    <row r="122" spans="3:6" ht="15.75" hidden="1" customHeight="1" x14ac:dyDescent="0.25"/>
  </sheetData>
  <mergeCells count="36">
    <mergeCell ref="G9:H9"/>
    <mergeCell ref="G4:H4"/>
    <mergeCell ref="G5:H5"/>
    <mergeCell ref="G6:H6"/>
    <mergeCell ref="G7:H7"/>
    <mergeCell ref="G8:H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 right="0.7" top="0.75" bottom="0.75" header="0.3" footer="0.3"/>
  <pageSetup paperSize="9" orientation="portrait" horizontalDpi="4294967293" verticalDpi="0"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BE677-D5D9-4D8B-BF13-13BF3A0C72A2}">
  <dimension ref="B2:J22"/>
  <sheetViews>
    <sheetView topLeftCell="A12" zoomScale="130" zoomScaleNormal="130" workbookViewId="0">
      <selection activeCell="D3" sqref="D3"/>
    </sheetView>
  </sheetViews>
  <sheetFormatPr baseColWidth="10" defaultRowHeight="15" x14ac:dyDescent="0.25"/>
  <cols>
    <col min="3" max="3" width="19.42578125" customWidth="1"/>
    <col min="5" max="5" width="31.5703125" customWidth="1"/>
  </cols>
  <sheetData>
    <row r="2" spans="2:8" x14ac:dyDescent="0.25">
      <c r="C2" t="s">
        <v>388</v>
      </c>
      <c r="D2" s="495">
        <v>4005</v>
      </c>
    </row>
    <row r="5" spans="2:8" x14ac:dyDescent="0.25">
      <c r="B5" s="496" t="s">
        <v>430</v>
      </c>
      <c r="C5" s="497" t="s">
        <v>179</v>
      </c>
      <c r="D5" s="498">
        <v>12000</v>
      </c>
    </row>
    <row r="6" spans="2:8" x14ac:dyDescent="0.25">
      <c r="B6" s="62"/>
      <c r="C6" s="497" t="s">
        <v>431</v>
      </c>
      <c r="D6" s="498">
        <v>2000</v>
      </c>
    </row>
    <row r="7" spans="2:8" x14ac:dyDescent="0.25">
      <c r="B7" s="62"/>
      <c r="C7" s="497" t="s">
        <v>432</v>
      </c>
      <c r="D7" s="498">
        <v>1000</v>
      </c>
    </row>
    <row r="8" spans="2:8" x14ac:dyDescent="0.25">
      <c r="B8" s="62"/>
      <c r="C8" s="497" t="s">
        <v>399</v>
      </c>
      <c r="D8" s="498">
        <f>2%*(D5+D6+D7)</f>
        <v>300</v>
      </c>
    </row>
    <row r="10" spans="2:8" x14ac:dyDescent="0.25">
      <c r="B10" s="61" t="s">
        <v>286</v>
      </c>
      <c r="C10" s="61" t="s">
        <v>252</v>
      </c>
      <c r="D10" s="61" t="s">
        <v>217</v>
      </c>
      <c r="E10" s="61" t="s">
        <v>253</v>
      </c>
      <c r="F10" s="61" t="s">
        <v>254</v>
      </c>
      <c r="G10" s="499" t="s">
        <v>255</v>
      </c>
      <c r="H10" s="499" t="s">
        <v>256</v>
      </c>
    </row>
    <row r="11" spans="2:8" x14ac:dyDescent="0.25">
      <c r="B11" s="56"/>
      <c r="C11" s="128">
        <v>129</v>
      </c>
      <c r="D11" s="792" t="s">
        <v>183</v>
      </c>
      <c r="E11" s="793"/>
      <c r="F11" s="500">
        <f>4*D2</f>
        <v>16020</v>
      </c>
      <c r="G11" s="64"/>
      <c r="H11" s="501"/>
    </row>
    <row r="12" spans="2:8" x14ac:dyDescent="0.25">
      <c r="C12" s="61">
        <v>130</v>
      </c>
      <c r="D12" s="789" t="s">
        <v>181</v>
      </c>
      <c r="E12" s="790"/>
      <c r="F12" s="502">
        <f>D5</f>
        <v>12000</v>
      </c>
      <c r="G12" s="448"/>
      <c r="H12" s="449"/>
    </row>
    <row r="13" spans="2:8" x14ac:dyDescent="0.25">
      <c r="C13" s="61">
        <v>131</v>
      </c>
      <c r="D13" s="789" t="s">
        <v>433</v>
      </c>
      <c r="E13" s="790"/>
      <c r="F13" s="502">
        <f>D6</f>
        <v>2000</v>
      </c>
      <c r="G13" s="448"/>
      <c r="H13" s="427"/>
    </row>
    <row r="14" spans="2:8" x14ac:dyDescent="0.25">
      <c r="C14" s="61">
        <v>132</v>
      </c>
      <c r="D14" s="789" t="s">
        <v>434</v>
      </c>
      <c r="E14" s="790"/>
      <c r="F14" s="503">
        <v>1000</v>
      </c>
      <c r="G14" s="448"/>
      <c r="H14" s="449"/>
    </row>
    <row r="15" spans="2:8" x14ac:dyDescent="0.25">
      <c r="C15" s="61">
        <v>133</v>
      </c>
      <c r="D15" s="789" t="s">
        <v>179</v>
      </c>
      <c r="E15" s="790"/>
      <c r="F15" s="453">
        <f>F12+F13+F14</f>
        <v>15000</v>
      </c>
      <c r="G15" s="450"/>
      <c r="H15" s="449"/>
    </row>
    <row r="16" spans="2:8" x14ac:dyDescent="0.25">
      <c r="C16" s="61">
        <v>134</v>
      </c>
      <c r="D16" s="789" t="s">
        <v>184</v>
      </c>
      <c r="E16" s="790"/>
      <c r="F16" s="453">
        <f>D8</f>
        <v>300</v>
      </c>
      <c r="G16" s="62"/>
      <c r="H16" s="67"/>
    </row>
    <row r="17" spans="3:10" x14ac:dyDescent="0.25">
      <c r="C17" s="61">
        <v>135</v>
      </c>
      <c r="D17" s="62"/>
      <c r="E17" s="62"/>
      <c r="F17" s="62"/>
      <c r="G17" s="62"/>
      <c r="H17" s="62"/>
    </row>
    <row r="18" spans="3:10" x14ac:dyDescent="0.25">
      <c r="C18" s="61">
        <v>136</v>
      </c>
      <c r="D18" s="764" t="s">
        <v>190</v>
      </c>
      <c r="E18" s="791"/>
      <c r="F18" s="791"/>
      <c r="G18" s="63">
        <v>6.8000000000000005E-2</v>
      </c>
      <c r="H18" s="454">
        <f>IF(F15&lt;F11,F12*0.9825+F16,IF(F12&gt;F11,F11*0.9825+F12-F11+F16, F12*0.9825+F16))</f>
        <v>12090</v>
      </c>
    </row>
    <row r="19" spans="3:10" x14ac:dyDescent="0.25">
      <c r="C19" s="61">
        <v>137</v>
      </c>
      <c r="D19" s="764" t="s">
        <v>185</v>
      </c>
      <c r="E19" s="791"/>
      <c r="F19" s="791"/>
      <c r="G19" s="63">
        <v>6.8000000000000005E-2</v>
      </c>
      <c r="H19" s="459">
        <f>IF(F15&gt;F11,IF(F12&gt;F11,F13,IF((F11-F12)&gt;F13,F13*0.9825,(F11-F12)*0.9825+F13-(F11-F12))),F13*0.9825)</f>
        <v>1965</v>
      </c>
      <c r="J19" s="12"/>
    </row>
    <row r="20" spans="3:10" x14ac:dyDescent="0.25">
      <c r="C20" s="61">
        <v>138</v>
      </c>
      <c r="D20" s="764" t="s">
        <v>186</v>
      </c>
      <c r="E20" s="791"/>
      <c r="F20" s="791"/>
      <c r="G20" s="63">
        <v>6.8000000000000005E-2</v>
      </c>
      <c r="H20" s="460">
        <f>IF(F15&lt;F11,F14*0.9825,IF(F12&gt;F11,F14,IF((F11-F12)&gt;F13,(F11-F12-F13)*0.9825+F14-(F11-F12-F13),F14)))</f>
        <v>982.5</v>
      </c>
      <c r="J20" s="12"/>
    </row>
    <row r="21" spans="3:10" x14ac:dyDescent="0.25">
      <c r="C21" s="61">
        <v>139</v>
      </c>
      <c r="D21" s="788" t="s">
        <v>187</v>
      </c>
      <c r="E21" s="794"/>
      <c r="F21" s="794"/>
      <c r="G21" s="63">
        <v>2.9000000000000001E-2</v>
      </c>
      <c r="H21" s="454">
        <f>H18</f>
        <v>12090</v>
      </c>
    </row>
    <row r="22" spans="3:10" x14ac:dyDescent="0.25">
      <c r="C22" s="61">
        <v>140</v>
      </c>
      <c r="D22" s="787" t="s">
        <v>188</v>
      </c>
      <c r="E22" s="787"/>
      <c r="F22" s="788"/>
      <c r="G22" s="63">
        <v>2.9000000000000001E-2</v>
      </c>
      <c r="H22" s="454">
        <f>H19+H20</f>
        <v>2947.5</v>
      </c>
    </row>
  </sheetData>
  <mergeCells count="11">
    <mergeCell ref="D11:E11"/>
    <mergeCell ref="D12:E12"/>
    <mergeCell ref="D13:E13"/>
    <mergeCell ref="D20:F20"/>
    <mergeCell ref="D21:F21"/>
    <mergeCell ref="D22:F22"/>
    <mergeCell ref="D14:E14"/>
    <mergeCell ref="D15:E15"/>
    <mergeCell ref="D16:E16"/>
    <mergeCell ref="D18:F18"/>
    <mergeCell ref="D19:F19"/>
  </mergeCells>
  <pageMargins left="0.70866141732283472" right="0.70866141732283472" top="0.74803149606299213" bottom="0.74803149606299213" header="0.31496062992125984" footer="0.31496062992125984"/>
  <pageSetup paperSize="9" orientation="landscape" horizontalDpi="4294967293"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F90"/>
  <sheetViews>
    <sheetView topLeftCell="A47" workbookViewId="0">
      <selection activeCell="E4" sqref="E4"/>
    </sheetView>
  </sheetViews>
  <sheetFormatPr baseColWidth="10" defaultRowHeight="15" x14ac:dyDescent="0.25"/>
  <cols>
    <col min="1" max="1" width="29" customWidth="1"/>
    <col min="2" max="2" width="19" customWidth="1"/>
    <col min="3" max="3" width="19" style="295" customWidth="1"/>
    <col min="4" max="4" width="19" style="33" customWidth="1"/>
    <col min="5" max="5" width="19" style="39" customWidth="1"/>
  </cols>
  <sheetData>
    <row r="1" spans="1:5" ht="48" customHeight="1" x14ac:dyDescent="0.25">
      <c r="A1" s="568" t="s">
        <v>67</v>
      </c>
      <c r="B1" s="569"/>
      <c r="C1" s="31" t="s">
        <v>68</v>
      </c>
      <c r="D1" s="274" t="s">
        <v>69</v>
      </c>
    </row>
    <row r="2" spans="1:5" ht="19.5" customHeight="1" x14ac:dyDescent="0.25">
      <c r="A2" s="570" t="s">
        <v>257</v>
      </c>
      <c r="B2" s="571"/>
      <c r="C2" s="31"/>
      <c r="D2" s="274"/>
    </row>
    <row r="3" spans="1:5" s="62" customFormat="1" ht="19.5" customHeight="1" x14ac:dyDescent="0.25">
      <c r="A3" s="572" t="s">
        <v>457</v>
      </c>
      <c r="B3" s="573"/>
      <c r="C3" s="207"/>
      <c r="D3" s="536">
        <v>0.13</v>
      </c>
      <c r="E3" s="208"/>
    </row>
    <row r="4" spans="1:5" s="62" customFormat="1" ht="19.5" customHeight="1" x14ac:dyDescent="0.25">
      <c r="A4" s="574"/>
      <c r="B4" s="575"/>
      <c r="C4" s="207"/>
      <c r="D4" s="207"/>
      <c r="E4" s="69"/>
    </row>
    <row r="5" spans="1:5" s="62" customFormat="1" ht="19.5" customHeight="1" x14ac:dyDescent="0.25">
      <c r="A5" s="574" t="s">
        <v>194</v>
      </c>
      <c r="B5" s="575"/>
      <c r="C5" s="381"/>
      <c r="D5" s="381"/>
      <c r="E5" s="583"/>
    </row>
    <row r="6" spans="1:5" s="62" customFormat="1" ht="19.5" customHeight="1" x14ac:dyDescent="0.25">
      <c r="A6" s="574" t="s">
        <v>245</v>
      </c>
      <c r="B6" s="575"/>
      <c r="C6" s="207"/>
      <c r="D6" s="207"/>
      <c r="E6" s="583"/>
    </row>
    <row r="7" spans="1:5" s="62" customFormat="1" ht="19.5" customHeight="1" x14ac:dyDescent="0.25">
      <c r="A7" s="576"/>
      <c r="B7" s="577"/>
      <c r="C7" s="577"/>
      <c r="D7" s="578"/>
      <c r="E7" s="275"/>
    </row>
    <row r="8" spans="1:5" s="62" customFormat="1" ht="19.5" customHeight="1" x14ac:dyDescent="0.25">
      <c r="A8" s="588" t="s">
        <v>37</v>
      </c>
      <c r="B8" s="589"/>
      <c r="C8" s="276"/>
      <c r="D8" s="277"/>
    </row>
    <row r="9" spans="1:5" s="62" customFormat="1" ht="19.5" customHeight="1" x14ac:dyDescent="0.25">
      <c r="A9" s="586" t="s">
        <v>258</v>
      </c>
      <c r="B9" s="587"/>
      <c r="C9" s="34"/>
      <c r="D9" s="34"/>
    </row>
    <row r="10" spans="1:5" s="62" customFormat="1" ht="19.5" customHeight="1" x14ac:dyDescent="0.25">
      <c r="A10" s="607" t="s">
        <v>456</v>
      </c>
      <c r="B10" s="608"/>
      <c r="C10" s="35"/>
      <c r="D10" s="533">
        <v>5.2499999999999998E-2</v>
      </c>
    </row>
    <row r="11" spans="1:5" s="62" customFormat="1" ht="19.5" customHeight="1" x14ac:dyDescent="0.25">
      <c r="A11" s="605"/>
      <c r="B11" s="606"/>
      <c r="C11" s="35"/>
      <c r="D11" s="210"/>
    </row>
    <row r="12" spans="1:5" s="62" customFormat="1" ht="19.5" customHeight="1" x14ac:dyDescent="0.25">
      <c r="A12" s="603" t="s">
        <v>259</v>
      </c>
      <c r="B12" s="604"/>
      <c r="C12" s="278"/>
      <c r="D12" s="209"/>
    </row>
    <row r="13" spans="1:5" s="62" customFormat="1" ht="19.5" customHeight="1" x14ac:dyDescent="0.25">
      <c r="A13" s="579" t="s">
        <v>201</v>
      </c>
      <c r="B13" s="580"/>
      <c r="C13" s="211"/>
      <c r="D13" s="211">
        <v>0.04</v>
      </c>
    </row>
    <row r="14" spans="1:5" s="62" customFormat="1" ht="19.5" customHeight="1" x14ac:dyDescent="0.25">
      <c r="A14" s="579" t="s">
        <v>216</v>
      </c>
      <c r="B14" s="580"/>
      <c r="C14" s="211"/>
      <c r="D14" s="211">
        <v>2.5000000000000001E-3</v>
      </c>
    </row>
    <row r="15" spans="1:5" s="62" customFormat="1" ht="19.5" customHeight="1" x14ac:dyDescent="0.25">
      <c r="A15" s="581" t="s">
        <v>271</v>
      </c>
      <c r="B15" s="582"/>
      <c r="C15" s="279">
        <v>2.4000000000000001E-4</v>
      </c>
      <c r="D15" s="280">
        <v>3.6000000000000002E-4</v>
      </c>
    </row>
    <row r="16" spans="1:5" s="62" customFormat="1" ht="19.5" customHeight="1" x14ac:dyDescent="0.25">
      <c r="A16" s="611" t="s">
        <v>38</v>
      </c>
      <c r="B16" s="612"/>
      <c r="C16" s="612"/>
      <c r="D16" s="612"/>
    </row>
    <row r="17" spans="1:5" s="62" customFormat="1" ht="19.5" customHeight="1" x14ac:dyDescent="0.25">
      <c r="A17" s="560" t="s">
        <v>39</v>
      </c>
      <c r="B17" s="561"/>
      <c r="C17" s="206">
        <v>6.9000000000000006E-2</v>
      </c>
      <c r="D17" s="206">
        <v>8.5500000000000007E-2</v>
      </c>
    </row>
    <row r="18" spans="1:5" s="62" customFormat="1" ht="19.5" customHeight="1" x14ac:dyDescent="0.25">
      <c r="A18" s="560" t="s">
        <v>40</v>
      </c>
      <c r="B18" s="561"/>
      <c r="C18" s="206">
        <v>4.0000000000000001E-3</v>
      </c>
      <c r="D18" s="533">
        <v>2.1100000000000001E-2</v>
      </c>
    </row>
    <row r="19" spans="1:5" s="62" customFormat="1" ht="19.5" customHeight="1" x14ac:dyDescent="0.25">
      <c r="A19" s="560" t="s">
        <v>41</v>
      </c>
      <c r="B19" s="561"/>
      <c r="C19" s="206">
        <v>3.15E-2</v>
      </c>
      <c r="D19" s="206">
        <v>4.7199999999999999E-2</v>
      </c>
    </row>
    <row r="20" spans="1:5" s="62" customFormat="1" ht="19.5" customHeight="1" x14ac:dyDescent="0.25">
      <c r="A20" s="560" t="s">
        <v>42</v>
      </c>
      <c r="B20" s="561"/>
      <c r="C20" s="206">
        <v>8.6400000000000005E-2</v>
      </c>
      <c r="D20" s="206">
        <v>0.1295</v>
      </c>
    </row>
    <row r="21" spans="1:5" s="62" customFormat="1" ht="19.5" customHeight="1" x14ac:dyDescent="0.25">
      <c r="A21" s="560" t="s">
        <v>72</v>
      </c>
      <c r="B21" s="561"/>
      <c r="C21" s="206">
        <v>8.6E-3</v>
      </c>
      <c r="D21" s="206">
        <v>1.29E-2</v>
      </c>
    </row>
    <row r="22" spans="1:5" s="62" customFormat="1" ht="19.5" customHeight="1" x14ac:dyDescent="0.25">
      <c r="A22" s="560" t="s">
        <v>73</v>
      </c>
      <c r="B22" s="561"/>
      <c r="C22" s="206">
        <v>1.0800000000000001E-2</v>
      </c>
      <c r="D22" s="206">
        <v>1.6199999999999999E-2</v>
      </c>
    </row>
    <row r="23" spans="1:5" s="62" customFormat="1" ht="19.5" customHeight="1" x14ac:dyDescent="0.25">
      <c r="A23" s="560" t="s">
        <v>74</v>
      </c>
      <c r="B23" s="561"/>
      <c r="C23" s="206">
        <v>1.4E-3</v>
      </c>
      <c r="D23" s="206">
        <v>2.0999999999999999E-3</v>
      </c>
    </row>
    <row r="24" spans="1:5" s="62" customFormat="1" ht="19.5" customHeight="1" x14ac:dyDescent="0.25">
      <c r="A24" s="560" t="s">
        <v>75</v>
      </c>
      <c r="B24" s="561"/>
      <c r="C24" s="206">
        <v>1.4E-3</v>
      </c>
      <c r="D24" s="206">
        <v>2.0999999999999999E-3</v>
      </c>
    </row>
    <row r="25" spans="1:5" s="62" customFormat="1" ht="19.5" customHeight="1" x14ac:dyDescent="0.25">
      <c r="A25" s="226"/>
      <c r="B25" s="227"/>
      <c r="C25" s="278"/>
      <c r="D25" s="209"/>
      <c r="E25" s="275"/>
    </row>
    <row r="26" spans="1:5" s="62" customFormat="1" ht="19.5" customHeight="1" x14ac:dyDescent="0.25">
      <c r="A26" s="560" t="s">
        <v>202</v>
      </c>
      <c r="B26" s="561"/>
      <c r="C26" s="35"/>
      <c r="D26" s="206">
        <v>1E-3</v>
      </c>
      <c r="E26" s="275"/>
    </row>
    <row r="27" spans="1:5" s="62" customFormat="1" ht="19.5" customHeight="1" x14ac:dyDescent="0.25">
      <c r="A27" s="609" t="s">
        <v>203</v>
      </c>
      <c r="B27" s="610"/>
      <c r="C27" s="35"/>
      <c r="D27" s="206">
        <v>5.0000000000000001E-3</v>
      </c>
      <c r="E27" s="275"/>
    </row>
    <row r="28" spans="1:5" s="62" customFormat="1" ht="19.5" customHeight="1" x14ac:dyDescent="0.25">
      <c r="A28" s="609" t="s">
        <v>178</v>
      </c>
      <c r="B28" s="610"/>
      <c r="C28" s="35"/>
      <c r="D28" s="206">
        <v>3.2000000000000001E-2</v>
      </c>
      <c r="E28" s="275" t="s">
        <v>427</v>
      </c>
    </row>
    <row r="29" spans="1:5" s="62" customFormat="1" ht="19.5" customHeight="1" x14ac:dyDescent="0.25">
      <c r="A29" s="560" t="s">
        <v>70</v>
      </c>
      <c r="B29" s="561"/>
      <c r="C29" s="35"/>
      <c r="D29" s="206">
        <v>3.0000000000000001E-3</v>
      </c>
      <c r="E29" s="275"/>
    </row>
    <row r="30" spans="1:5" s="62" customFormat="1" ht="19.5" customHeight="1" x14ac:dyDescent="0.25">
      <c r="A30" s="560" t="s">
        <v>46</v>
      </c>
      <c r="B30" s="561"/>
      <c r="C30" s="35"/>
      <c r="D30" s="206">
        <v>0.08</v>
      </c>
      <c r="E30" s="275"/>
    </row>
    <row r="31" spans="1:5" s="62" customFormat="1" ht="19.5" customHeight="1" x14ac:dyDescent="0.25">
      <c r="A31" s="222" t="s">
        <v>218</v>
      </c>
      <c r="B31" s="222"/>
      <c r="C31" s="35"/>
      <c r="D31" s="206">
        <v>0.2</v>
      </c>
      <c r="E31" s="275"/>
    </row>
    <row r="32" spans="1:5" s="62" customFormat="1" ht="15.75" x14ac:dyDescent="0.25">
      <c r="A32" s="560" t="s">
        <v>71</v>
      </c>
      <c r="B32" s="561"/>
      <c r="C32" s="35"/>
      <c r="D32" s="211">
        <v>1.6000000000000001E-4</v>
      </c>
      <c r="E32" s="208"/>
    </row>
    <row r="33" spans="1:5" s="62" customFormat="1" ht="15.75" x14ac:dyDescent="0.25">
      <c r="A33" s="560" t="s">
        <v>76</v>
      </c>
      <c r="B33" s="561"/>
      <c r="C33" s="32"/>
      <c r="D33" s="206">
        <v>6.7999999999999996E-3</v>
      </c>
      <c r="E33" s="208"/>
    </row>
    <row r="34" spans="1:5" s="62" customFormat="1" ht="15" customHeight="1" x14ac:dyDescent="0.25">
      <c r="A34" s="560" t="s">
        <v>204</v>
      </c>
      <c r="B34" s="561"/>
      <c r="C34" s="32"/>
      <c r="D34" s="206">
        <v>0.01</v>
      </c>
      <c r="E34" s="212"/>
    </row>
    <row r="35" spans="1:5" s="62" customFormat="1" ht="15" customHeight="1" x14ac:dyDescent="0.25">
      <c r="A35" s="560" t="s">
        <v>204</v>
      </c>
      <c r="B35" s="561"/>
      <c r="C35" s="32"/>
      <c r="D35" s="206">
        <v>5.4999999999999997E-3</v>
      </c>
      <c r="E35" s="212"/>
    </row>
    <row r="36" spans="1:5" s="62" customFormat="1" ht="15" customHeight="1" x14ac:dyDescent="0.25">
      <c r="A36" s="560" t="s">
        <v>79</v>
      </c>
      <c r="B36" s="561"/>
      <c r="C36" s="32"/>
      <c r="D36" s="206">
        <v>4.4999999999999997E-3</v>
      </c>
      <c r="E36" s="213"/>
    </row>
    <row r="37" spans="1:5" s="62" customFormat="1" ht="15" customHeight="1" x14ac:dyDescent="0.25">
      <c r="A37" s="584"/>
      <c r="B37" s="585"/>
      <c r="C37" s="278"/>
      <c r="D37" s="209"/>
      <c r="E37" s="213"/>
    </row>
    <row r="38" spans="1:5" s="62" customFormat="1" ht="15" customHeight="1" x14ac:dyDescent="0.25">
      <c r="A38" s="556" t="s">
        <v>48</v>
      </c>
      <c r="B38" s="557"/>
      <c r="C38" s="281">
        <v>6.8000000000000005E-2</v>
      </c>
      <c r="D38" s="214"/>
      <c r="E38" s="477"/>
    </row>
    <row r="39" spans="1:5" s="62" customFormat="1" ht="15.75" customHeight="1" x14ac:dyDescent="0.25">
      <c r="A39" s="599" t="s">
        <v>49</v>
      </c>
      <c r="B39" s="599"/>
      <c r="C39" s="281">
        <v>2.9000000000000001E-2</v>
      </c>
      <c r="D39" s="214"/>
      <c r="E39" s="208"/>
    </row>
    <row r="40" spans="1:5" s="62" customFormat="1" ht="15.75" customHeight="1" x14ac:dyDescent="0.25">
      <c r="A40" s="556" t="s">
        <v>50</v>
      </c>
      <c r="B40" s="557"/>
      <c r="C40" s="281">
        <v>6.8000000000000005E-2</v>
      </c>
      <c r="D40" s="214"/>
      <c r="E40" s="208"/>
    </row>
    <row r="41" spans="1:5" s="62" customFormat="1" ht="15" customHeight="1" x14ac:dyDescent="0.25">
      <c r="A41" s="556" t="s">
        <v>51</v>
      </c>
      <c r="B41" s="557"/>
      <c r="C41" s="281">
        <v>6.8000000000000005E-2</v>
      </c>
      <c r="D41" s="214"/>
    </row>
    <row r="42" spans="1:5" s="62" customFormat="1" ht="15" customHeight="1" x14ac:dyDescent="0.25">
      <c r="A42" s="556" t="s">
        <v>52</v>
      </c>
      <c r="B42" s="557"/>
      <c r="C42" s="281">
        <v>2.9000000000000001E-2</v>
      </c>
      <c r="D42" s="214"/>
    </row>
    <row r="43" spans="1:5" s="62" customFormat="1" ht="10.5" customHeight="1" x14ac:dyDescent="0.25">
      <c r="A43" s="590"/>
      <c r="B43" s="591"/>
      <c r="C43" s="591"/>
      <c r="D43" s="592"/>
      <c r="E43" s="38"/>
    </row>
    <row r="44" spans="1:5" s="62" customFormat="1" ht="15" customHeight="1" x14ac:dyDescent="0.25">
      <c r="A44" s="601" t="s">
        <v>260</v>
      </c>
      <c r="B44" s="602"/>
      <c r="C44" s="282"/>
      <c r="D44" s="283"/>
      <c r="E44" s="208"/>
    </row>
    <row r="45" spans="1:5" s="62" customFormat="1" ht="15" customHeight="1" x14ac:dyDescent="0.25">
      <c r="A45" s="582" t="s">
        <v>248</v>
      </c>
      <c r="B45" s="599"/>
      <c r="C45" s="281"/>
      <c r="D45" s="281"/>
      <c r="E45" s="190"/>
    </row>
    <row r="46" spans="1:5" s="62" customFormat="1" ht="15" customHeight="1" x14ac:dyDescent="0.25">
      <c r="A46" s="582" t="s">
        <v>247</v>
      </c>
      <c r="B46" s="599"/>
      <c r="C46" s="281"/>
      <c r="D46" s="281"/>
      <c r="E46" s="190"/>
    </row>
    <row r="47" spans="1:5" s="62" customFormat="1" ht="15" customHeight="1" x14ac:dyDescent="0.25">
      <c r="A47" s="600" t="s">
        <v>198</v>
      </c>
      <c r="B47" s="600"/>
      <c r="C47" s="281"/>
      <c r="D47" s="281">
        <v>1.4999999999999999E-2</v>
      </c>
      <c r="E47" s="190"/>
    </row>
    <row r="48" spans="1:5" s="62" customFormat="1" ht="15" customHeight="1" x14ac:dyDescent="0.25">
      <c r="A48" s="556" t="s">
        <v>199</v>
      </c>
      <c r="B48" s="557"/>
      <c r="C48" s="282"/>
      <c r="D48" s="284"/>
      <c r="E48" s="208"/>
    </row>
    <row r="49" spans="1:6" s="62" customFormat="1" ht="15" customHeight="1" x14ac:dyDescent="0.25">
      <c r="A49" s="556" t="s">
        <v>200</v>
      </c>
      <c r="B49" s="557"/>
      <c r="C49" s="282"/>
      <c r="D49" s="284"/>
      <c r="E49" s="208"/>
    </row>
    <row r="50" spans="1:6" s="62" customFormat="1" ht="8.25" customHeight="1" x14ac:dyDescent="0.25">
      <c r="A50" s="576"/>
      <c r="B50" s="577"/>
      <c r="C50" s="577"/>
      <c r="D50" s="578"/>
      <c r="E50" s="208"/>
    </row>
    <row r="51" spans="1:6" s="62" customFormat="1" ht="15" customHeight="1" x14ac:dyDescent="0.25">
      <c r="A51" s="593" t="s">
        <v>449</v>
      </c>
      <c r="B51" s="594"/>
      <c r="C51" s="535">
        <v>4005</v>
      </c>
      <c r="D51" s="285"/>
      <c r="E51" s="208"/>
    </row>
    <row r="52" spans="1:6" s="62" customFormat="1" x14ac:dyDescent="0.25">
      <c r="A52" s="593" t="s">
        <v>450</v>
      </c>
      <c r="B52" s="594"/>
      <c r="C52" s="217">
        <v>11.88</v>
      </c>
      <c r="D52" s="215"/>
      <c r="E52" s="208"/>
    </row>
    <row r="53" spans="1:6" s="62" customFormat="1" hidden="1" x14ac:dyDescent="0.25">
      <c r="A53" s="593"/>
      <c r="B53" s="594"/>
      <c r="C53" s="217">
        <v>11.88</v>
      </c>
      <c r="D53" s="215"/>
      <c r="E53" s="208"/>
    </row>
    <row r="54" spans="1:6" s="62" customFormat="1" x14ac:dyDescent="0.25">
      <c r="A54" s="478" t="s">
        <v>451</v>
      </c>
      <c r="B54" s="479"/>
      <c r="C54" s="535">
        <v>12.02</v>
      </c>
      <c r="D54" s="215"/>
      <c r="E54" s="208"/>
    </row>
    <row r="55" spans="1:6" s="62" customFormat="1" x14ac:dyDescent="0.25">
      <c r="A55" s="593" t="s">
        <v>437</v>
      </c>
      <c r="B55" s="594"/>
      <c r="C55" s="286"/>
      <c r="D55" s="215"/>
      <c r="E55" s="208"/>
    </row>
    <row r="56" spans="1:6" s="62" customFormat="1" x14ac:dyDescent="0.25">
      <c r="A56" s="593" t="s">
        <v>437</v>
      </c>
      <c r="B56" s="594"/>
      <c r="C56" s="286"/>
      <c r="D56" s="215"/>
      <c r="E56" s="62" t="s">
        <v>452</v>
      </c>
    </row>
    <row r="57" spans="1:6" s="62" customFormat="1" x14ac:dyDescent="0.25">
      <c r="A57" s="478" t="s">
        <v>453</v>
      </c>
      <c r="B57" s="479"/>
      <c r="C57" s="286">
        <f>C54*35*52/12</f>
        <v>1823.0333333333331</v>
      </c>
      <c r="D57" s="215"/>
      <c r="E57" s="523">
        <f>ROUND(C54*151.67,2)</f>
        <v>1823.07</v>
      </c>
    </row>
    <row r="58" spans="1:6" s="62" customFormat="1" hidden="1" x14ac:dyDescent="0.25">
      <c r="A58" s="593"/>
      <c r="B58" s="594"/>
      <c r="C58" s="217"/>
      <c r="D58" s="215"/>
      <c r="E58" s="523"/>
    </row>
    <row r="59" spans="1:6" s="62" customFormat="1" hidden="1" x14ac:dyDescent="0.25">
      <c r="A59" s="556"/>
      <c r="B59" s="557"/>
      <c r="C59" s="488"/>
      <c r="D59" s="207"/>
      <c r="E59" s="523"/>
      <c r="F59" s="489"/>
    </row>
    <row r="60" spans="1:6" s="62" customFormat="1" ht="18.75" customHeight="1" x14ac:dyDescent="0.25">
      <c r="A60" s="556" t="s">
        <v>454</v>
      </c>
      <c r="B60" s="557"/>
      <c r="C60" s="488">
        <f>3*C54*35*52/12</f>
        <v>5469.1000000000013</v>
      </c>
      <c r="D60" s="207"/>
      <c r="E60" s="489">
        <f>ROUND(3*C54*151.67,2)</f>
        <v>5469.22</v>
      </c>
    </row>
    <row r="61" spans="1:6" s="62" customFormat="1" ht="31.5" customHeight="1" x14ac:dyDescent="0.25">
      <c r="A61" s="579" t="s">
        <v>455</v>
      </c>
      <c r="B61" s="580"/>
      <c r="C61" s="531">
        <v>0.37809999999999999</v>
      </c>
      <c r="D61" s="532">
        <v>0.3821</v>
      </c>
    </row>
    <row r="62" spans="1:6" s="62" customFormat="1" ht="15" customHeight="1" x14ac:dyDescent="0.25">
      <c r="A62" s="558"/>
      <c r="B62" s="558"/>
      <c r="C62" s="558"/>
      <c r="D62" s="559"/>
      <c r="E62" s="225"/>
    </row>
    <row r="63" spans="1:6" s="62" customFormat="1" ht="23.25" customHeight="1" x14ac:dyDescent="0.25">
      <c r="A63" s="579" t="s">
        <v>214</v>
      </c>
      <c r="B63" s="580"/>
      <c r="C63" s="287"/>
      <c r="D63" s="288" t="s">
        <v>78</v>
      </c>
      <c r="E63" s="216"/>
    </row>
    <row r="64" spans="1:6" s="62" customFormat="1" ht="17.25" customHeight="1" x14ac:dyDescent="0.25">
      <c r="A64" s="595" t="s">
        <v>487</v>
      </c>
      <c r="B64" s="596"/>
      <c r="C64" s="287"/>
      <c r="D64" s="288" t="s">
        <v>213</v>
      </c>
      <c r="E64" s="216"/>
    </row>
    <row r="65" spans="1:5" s="62" customFormat="1" ht="18" customHeight="1" x14ac:dyDescent="0.25">
      <c r="A65" s="560" t="s">
        <v>205</v>
      </c>
      <c r="B65" s="561"/>
      <c r="C65" s="490">
        <v>7.32</v>
      </c>
      <c r="D65" s="289"/>
      <c r="E65" s="221"/>
    </row>
    <row r="66" spans="1:5" s="62" customFormat="1" ht="15" customHeight="1" x14ac:dyDescent="0.25">
      <c r="A66" s="560" t="s">
        <v>215</v>
      </c>
      <c r="B66" s="561"/>
      <c r="C66" s="534">
        <v>90.8</v>
      </c>
      <c r="D66" s="289"/>
      <c r="E66" s="221"/>
    </row>
    <row r="67" spans="1:5" s="62" customFormat="1" ht="35.25" customHeight="1" x14ac:dyDescent="0.25">
      <c r="A67" s="218"/>
      <c r="C67" s="290"/>
      <c r="D67" s="219"/>
      <c r="E67" s="208"/>
    </row>
    <row r="68" spans="1:5" s="62" customFormat="1" ht="18.75" customHeight="1" x14ac:dyDescent="0.25">
      <c r="A68" s="220"/>
      <c r="B68" s="562" t="s">
        <v>266</v>
      </c>
      <c r="C68" s="562"/>
      <c r="D68" s="563" t="s">
        <v>267</v>
      </c>
      <c r="E68" s="563"/>
    </row>
    <row r="69" spans="1:5" s="62" customFormat="1" ht="18.75" customHeight="1" x14ac:dyDescent="0.25">
      <c r="A69" s="220"/>
      <c r="B69" s="296" t="s">
        <v>261</v>
      </c>
      <c r="C69" s="296" t="s">
        <v>83</v>
      </c>
      <c r="D69" s="296" t="s">
        <v>261</v>
      </c>
      <c r="E69" s="296" t="s">
        <v>83</v>
      </c>
    </row>
    <row r="70" spans="1:5" s="62" customFormat="1" ht="18.75" customHeight="1" x14ac:dyDescent="0.25">
      <c r="A70" s="305" t="s">
        <v>41</v>
      </c>
      <c r="B70" s="297">
        <v>3.15E-2</v>
      </c>
      <c r="C70" s="298">
        <v>4.7199999999999999E-2</v>
      </c>
      <c r="D70" s="297">
        <v>3.15E-2</v>
      </c>
      <c r="E70" s="298">
        <v>4.7199999999999999E-2</v>
      </c>
    </row>
    <row r="71" spans="1:5" s="62" customFormat="1" ht="18.75" customHeight="1" x14ac:dyDescent="0.25">
      <c r="A71" s="305" t="s">
        <v>262</v>
      </c>
      <c r="B71" s="297">
        <v>8.6E-3</v>
      </c>
      <c r="C71" s="297">
        <v>1.29E-2</v>
      </c>
      <c r="D71" s="297">
        <v>8.6E-3</v>
      </c>
      <c r="E71" s="297">
        <v>1.29E-2</v>
      </c>
    </row>
    <row r="72" spans="1:5" s="62" customFormat="1" ht="18.75" customHeight="1" x14ac:dyDescent="0.25">
      <c r="A72" s="305" t="s">
        <v>264</v>
      </c>
      <c r="B72" s="41"/>
      <c r="C72" s="304"/>
      <c r="D72" s="297">
        <v>1.4E-3</v>
      </c>
      <c r="E72" s="297">
        <v>2.0999999999999999E-3</v>
      </c>
    </row>
    <row r="73" spans="1:5" s="62" customFormat="1" ht="35.25" customHeight="1" x14ac:dyDescent="0.25">
      <c r="A73" s="300" t="s">
        <v>268</v>
      </c>
      <c r="B73" s="301">
        <f>+B70+B71</f>
        <v>4.0099999999999997E-2</v>
      </c>
      <c r="C73" s="301">
        <f>+C70+C71</f>
        <v>6.0100000000000001E-2</v>
      </c>
      <c r="D73" s="301">
        <f>SUM(D70:D72)</f>
        <v>4.1499999999999995E-2</v>
      </c>
      <c r="E73" s="301">
        <f>SUM(E70:E72)</f>
        <v>6.2199999999999998E-2</v>
      </c>
    </row>
    <row r="74" spans="1:5" s="62" customFormat="1" ht="27" customHeight="1" x14ac:dyDescent="0.25">
      <c r="A74" s="302"/>
      <c r="B74" s="303"/>
      <c r="C74" s="303"/>
      <c r="D74" s="303"/>
      <c r="E74" s="303"/>
    </row>
    <row r="75" spans="1:5" s="62" customFormat="1" ht="18.75" customHeight="1" x14ac:dyDescent="0.25">
      <c r="A75" s="220"/>
      <c r="B75" s="220"/>
      <c r="C75" s="299"/>
      <c r="D75" s="296" t="s">
        <v>82</v>
      </c>
      <c r="E75" s="300" t="s">
        <v>83</v>
      </c>
    </row>
    <row r="76" spans="1:5" s="62" customFormat="1" ht="18.75" customHeight="1" x14ac:dyDescent="0.25">
      <c r="A76" s="305" t="s">
        <v>42</v>
      </c>
      <c r="B76" s="220"/>
      <c r="C76" s="299"/>
      <c r="D76" s="297">
        <v>8.6400000000000005E-2</v>
      </c>
      <c r="E76" s="297">
        <v>0.1295</v>
      </c>
    </row>
    <row r="77" spans="1:5" s="62" customFormat="1" ht="18.75" customHeight="1" x14ac:dyDescent="0.25">
      <c r="A77" s="305" t="s">
        <v>263</v>
      </c>
      <c r="B77" s="220"/>
      <c r="C77" s="299"/>
      <c r="D77" s="297">
        <v>1.0800000000000001E-2</v>
      </c>
      <c r="E77" s="297">
        <v>1.6199999999999999E-2</v>
      </c>
    </row>
    <row r="78" spans="1:5" s="62" customFormat="1" ht="18.75" customHeight="1" x14ac:dyDescent="0.25">
      <c r="A78" s="305" t="s">
        <v>265</v>
      </c>
      <c r="B78" s="220"/>
      <c r="C78" s="299"/>
      <c r="D78" s="297">
        <v>1.4E-3</v>
      </c>
      <c r="E78" s="297">
        <v>2.0999999999999999E-3</v>
      </c>
    </row>
    <row r="79" spans="1:5" s="62" customFormat="1" ht="33" customHeight="1" x14ac:dyDescent="0.25">
      <c r="A79" s="300" t="s">
        <v>269</v>
      </c>
      <c r="B79" s="220"/>
      <c r="C79" s="299"/>
      <c r="D79" s="301">
        <f>SUM(D76:D78)</f>
        <v>9.8600000000000007E-2</v>
      </c>
      <c r="E79" s="301">
        <f>SUM(E76:E78)</f>
        <v>0.14779999999999999</v>
      </c>
    </row>
    <row r="80" spans="1:5" s="62" customFormat="1" ht="35.25" customHeight="1" x14ac:dyDescent="0.25">
      <c r="A80" s="191"/>
      <c r="C80" s="291"/>
      <c r="D80" s="292"/>
      <c r="E80" s="191"/>
    </row>
    <row r="81" spans="1:5" s="62" customFormat="1" ht="35.25" customHeight="1" x14ac:dyDescent="0.25">
      <c r="C81" s="293"/>
      <c r="D81" s="219"/>
      <c r="E81" s="208"/>
    </row>
    <row r="82" spans="1:5" s="62" customFormat="1" ht="35.25" customHeight="1" x14ac:dyDescent="0.25">
      <c r="A82" s="565" t="s">
        <v>438</v>
      </c>
      <c r="B82" s="566"/>
      <c r="C82" s="566"/>
      <c r="D82" s="567"/>
      <c r="E82" s="208"/>
    </row>
    <row r="83" spans="1:5" s="62" customFormat="1" ht="42" customHeight="1" x14ac:dyDescent="0.25">
      <c r="A83" s="597" t="s">
        <v>206</v>
      </c>
      <c r="B83" s="598"/>
      <c r="C83" s="81" t="s">
        <v>439</v>
      </c>
      <c r="D83" s="81" t="s">
        <v>428</v>
      </c>
      <c r="E83" s="208"/>
    </row>
    <row r="84" spans="1:5" s="62" customFormat="1" ht="35.25" customHeight="1" x14ac:dyDescent="0.25">
      <c r="A84" s="565" t="s">
        <v>207</v>
      </c>
      <c r="B84" s="567"/>
      <c r="C84" s="294" t="s">
        <v>208</v>
      </c>
      <c r="D84" s="491">
        <v>3.2000000000000001E-2</v>
      </c>
      <c r="E84" s="208"/>
    </row>
    <row r="85" spans="1:5" s="62" customFormat="1" ht="35.25" customHeight="1" x14ac:dyDescent="0.25">
      <c r="A85" s="565" t="s">
        <v>209</v>
      </c>
      <c r="B85" s="567"/>
      <c r="C85" s="294" t="s">
        <v>208</v>
      </c>
      <c r="D85" s="491">
        <v>3.2000000000000001E-2</v>
      </c>
      <c r="E85" s="208"/>
    </row>
    <row r="86" spans="1:5" ht="47.25" customHeight="1" x14ac:dyDescent="0.25">
      <c r="A86" s="564" t="s">
        <v>210</v>
      </c>
      <c r="B86" s="564"/>
      <c r="C86" s="294" t="s">
        <v>429</v>
      </c>
      <c r="D86" s="294" t="s">
        <v>429</v>
      </c>
    </row>
    <row r="87" spans="1:5" ht="35.25" customHeight="1" x14ac:dyDescent="0.25">
      <c r="A87" s="555"/>
      <c r="B87" s="555"/>
      <c r="C87" s="492"/>
    </row>
    <row r="88" spans="1:5" ht="35.25" customHeight="1" x14ac:dyDescent="0.25">
      <c r="A88" t="s">
        <v>211</v>
      </c>
    </row>
    <row r="89" spans="1:5" ht="35.25" customHeight="1" x14ac:dyDescent="0.25">
      <c r="A89" s="62" t="s">
        <v>212</v>
      </c>
    </row>
    <row r="90" spans="1:5" ht="35.25" customHeight="1" x14ac:dyDescent="0.25">
      <c r="B90" s="62"/>
      <c r="C90" s="290"/>
    </row>
  </sheetData>
  <mergeCells count="71">
    <mergeCell ref="A39:B39"/>
    <mergeCell ref="A12:B12"/>
    <mergeCell ref="A11:B11"/>
    <mergeCell ref="A10:B10"/>
    <mergeCell ref="A26:B26"/>
    <mergeCell ref="A27:B27"/>
    <mergeCell ref="A28:B28"/>
    <mergeCell ref="A29:B29"/>
    <mergeCell ref="A30:B30"/>
    <mergeCell ref="A38:B38"/>
    <mergeCell ref="A18:B18"/>
    <mergeCell ref="A19:B19"/>
    <mergeCell ref="A20:B20"/>
    <mergeCell ref="A16:D16"/>
    <mergeCell ref="A17:B17"/>
    <mergeCell ref="A49:B49"/>
    <mergeCell ref="A50:D50"/>
    <mergeCell ref="A47:B47"/>
    <mergeCell ref="A44:B44"/>
    <mergeCell ref="A45:B45"/>
    <mergeCell ref="A43:D43"/>
    <mergeCell ref="A56:B56"/>
    <mergeCell ref="A58:B58"/>
    <mergeCell ref="A59:B59"/>
    <mergeCell ref="A85:B85"/>
    <mergeCell ref="A64:B64"/>
    <mergeCell ref="A63:B63"/>
    <mergeCell ref="A83:B83"/>
    <mergeCell ref="A84:B84"/>
    <mergeCell ref="A46:B46"/>
    <mergeCell ref="A55:B55"/>
    <mergeCell ref="A61:B61"/>
    <mergeCell ref="A53:B53"/>
    <mergeCell ref="A52:B52"/>
    <mergeCell ref="A51:B51"/>
    <mergeCell ref="A48:B48"/>
    <mergeCell ref="E5:E6"/>
    <mergeCell ref="A42:B42"/>
    <mergeCell ref="A21:B21"/>
    <mergeCell ref="A22:B22"/>
    <mergeCell ref="A23:B23"/>
    <mergeCell ref="A24:B24"/>
    <mergeCell ref="A33:B33"/>
    <mergeCell ref="A34:B34"/>
    <mergeCell ref="A35:B35"/>
    <mergeCell ref="A36:B36"/>
    <mergeCell ref="A37:B37"/>
    <mergeCell ref="A32:B32"/>
    <mergeCell ref="A9:B9"/>
    <mergeCell ref="A8:B8"/>
    <mergeCell ref="A41:B41"/>
    <mergeCell ref="A40:B40"/>
    <mergeCell ref="A6:B6"/>
    <mergeCell ref="A7:D7"/>
    <mergeCell ref="A13:B13"/>
    <mergeCell ref="A14:B14"/>
    <mergeCell ref="A15:B15"/>
    <mergeCell ref="A1:B1"/>
    <mergeCell ref="A2:B2"/>
    <mergeCell ref="A3:B3"/>
    <mergeCell ref="A4:B4"/>
    <mergeCell ref="A5:B5"/>
    <mergeCell ref="A87:B87"/>
    <mergeCell ref="A60:B60"/>
    <mergeCell ref="A62:D62"/>
    <mergeCell ref="A65:B65"/>
    <mergeCell ref="A66:B66"/>
    <mergeCell ref="B68:C68"/>
    <mergeCell ref="D68:E68"/>
    <mergeCell ref="A86:B86"/>
    <mergeCell ref="A82:D82"/>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5"/>
  <sheetViews>
    <sheetView topLeftCell="B82" zoomScale="140" zoomScaleNormal="140" workbookViewId="0">
      <selection activeCell="J15" sqref="J15"/>
    </sheetView>
  </sheetViews>
  <sheetFormatPr baseColWidth="10" defaultRowHeight="15" x14ac:dyDescent="0.25"/>
  <cols>
    <col min="1" max="2" width="18.28515625" customWidth="1"/>
    <col min="3" max="4" width="13.42578125" customWidth="1"/>
    <col min="5" max="5" width="10.85546875" customWidth="1"/>
    <col min="6" max="6" width="12.7109375" customWidth="1"/>
    <col min="7" max="7" width="13.140625" customWidth="1"/>
    <col min="8" max="8" width="8.7109375" customWidth="1"/>
    <col min="9" max="9" width="15.28515625" customWidth="1"/>
    <col min="10" max="10" width="13.5703125" customWidth="1"/>
    <col min="11" max="11" width="7.28515625" customWidth="1"/>
    <col min="12" max="12" width="0.140625" customWidth="1"/>
    <col min="13" max="13" width="7.5703125" customWidth="1"/>
    <col min="14" max="14" width="9.28515625" customWidth="1"/>
  </cols>
  <sheetData>
    <row r="1" spans="1:10" s="27" customFormat="1" ht="15.75" customHeight="1" x14ac:dyDescent="0.3">
      <c r="A1" s="687" t="s">
        <v>228</v>
      </c>
      <c r="B1" s="687"/>
      <c r="C1" s="687"/>
      <c r="D1" s="687"/>
      <c r="E1" s="687"/>
      <c r="F1" s="687"/>
      <c r="G1" s="687"/>
      <c r="H1" s="688"/>
      <c r="I1" s="688"/>
      <c r="J1" s="688"/>
    </row>
    <row r="2" spans="1:10" s="27" customFormat="1" ht="15.75" customHeight="1" x14ac:dyDescent="0.3">
      <c r="A2" s="689" t="s">
        <v>0</v>
      </c>
      <c r="B2" s="690"/>
      <c r="C2" s="690"/>
      <c r="D2" s="691"/>
      <c r="E2" s="313"/>
      <c r="F2" s="692" t="s">
        <v>1</v>
      </c>
      <c r="G2" s="693"/>
      <c r="H2" s="693"/>
      <c r="I2" s="693"/>
      <c r="J2" s="694"/>
    </row>
    <row r="3" spans="1:10" s="27" customFormat="1" ht="15.75" customHeight="1" x14ac:dyDescent="0.3">
      <c r="A3" s="314" t="s">
        <v>2</v>
      </c>
      <c r="B3" s="695" t="str">
        <f>'MASQUE DE SAISIE '!G4</f>
        <v xml:space="preserve">ATGR </v>
      </c>
      <c r="C3" s="696"/>
      <c r="D3" s="697"/>
      <c r="E3" s="315"/>
      <c r="F3" s="316" t="s">
        <v>2</v>
      </c>
      <c r="G3" s="685" t="str">
        <f>'MASQUE DE SAISIE '!E26</f>
        <v xml:space="preserve">MARTINO </v>
      </c>
      <c r="H3" s="685"/>
      <c r="I3" s="685"/>
      <c r="J3" s="685"/>
    </row>
    <row r="4" spans="1:10" s="27" customFormat="1" ht="15.75" customHeight="1" x14ac:dyDescent="0.3">
      <c r="A4" s="314" t="s">
        <v>3</v>
      </c>
      <c r="B4" s="695" t="str">
        <f>'MASQUE DE SAISIE '!G5</f>
        <v xml:space="preserve">3 Rue Paul Vaillant Couturier 92300 Levallois-Perret </v>
      </c>
      <c r="C4" s="696"/>
      <c r="D4" s="697"/>
      <c r="E4" s="315"/>
      <c r="F4" s="316" t="s">
        <v>4</v>
      </c>
      <c r="G4" s="685" t="str">
        <f>'MASQUE DE SAISIE '!E27</f>
        <v xml:space="preserve">Hervé </v>
      </c>
      <c r="H4" s="685"/>
      <c r="I4" s="685"/>
      <c r="J4" s="685"/>
    </row>
    <row r="5" spans="1:10" s="27" customFormat="1" ht="15.75" customHeight="1" x14ac:dyDescent="0.3">
      <c r="A5" s="314"/>
      <c r="B5" s="678"/>
      <c r="C5" s="684"/>
      <c r="D5" s="675"/>
      <c r="E5" s="315"/>
      <c r="F5" s="316" t="s">
        <v>5</v>
      </c>
      <c r="G5" s="685" t="str">
        <f>'MASQUE DE SAISIE '!E29</f>
        <v>Responsable Paie</v>
      </c>
      <c r="H5" s="685"/>
      <c r="I5" s="685"/>
      <c r="J5" s="685"/>
    </row>
    <row r="6" spans="1:10" s="27" customFormat="1" ht="15.75" customHeight="1" x14ac:dyDescent="0.3">
      <c r="A6" s="314" t="s">
        <v>6</v>
      </c>
      <c r="B6" s="671">
        <f>'MASQUE DE SAISIE '!G6</f>
        <v>34464426500029</v>
      </c>
      <c r="C6" s="672"/>
      <c r="D6" s="673"/>
      <c r="E6" s="317"/>
      <c r="F6" s="316" t="s">
        <v>7</v>
      </c>
      <c r="G6" s="685">
        <f>'MASQUE DE SAISIE '!E30</f>
        <v>450</v>
      </c>
      <c r="H6" s="685"/>
      <c r="I6" s="685"/>
      <c r="J6" s="685"/>
    </row>
    <row r="7" spans="1:10" s="27" customFormat="1" ht="15.75" customHeight="1" x14ac:dyDescent="0.3">
      <c r="A7" s="314" t="s">
        <v>8</v>
      </c>
      <c r="B7" s="678" t="str">
        <f>'MASQUE DE SAISIE '!G7</f>
        <v xml:space="preserve">7111C </v>
      </c>
      <c r="C7" s="684"/>
      <c r="D7" s="675"/>
      <c r="E7" s="315"/>
      <c r="F7" s="316" t="s">
        <v>9</v>
      </c>
      <c r="G7" s="686" t="str">
        <f>'MASQUE DE SAISIE '!E31</f>
        <v>1.63.11.59.52.55.</v>
      </c>
      <c r="H7" s="686"/>
      <c r="I7" s="686"/>
      <c r="J7" s="686"/>
    </row>
    <row r="8" spans="1:10" s="27" customFormat="1" ht="15.75" customHeight="1" x14ac:dyDescent="0.3">
      <c r="A8" s="314" t="s">
        <v>10</v>
      </c>
      <c r="B8" s="671"/>
      <c r="C8" s="672"/>
      <c r="D8" s="673"/>
      <c r="E8" s="317"/>
      <c r="F8" s="318" t="s">
        <v>3</v>
      </c>
      <c r="G8" s="685" t="str">
        <f>'MASQUE DE SAISIE '!E28</f>
        <v xml:space="preserve">3 Rue Paul  92700 Colombes </v>
      </c>
      <c r="H8" s="685"/>
      <c r="I8" s="685"/>
      <c r="J8" s="685"/>
    </row>
    <row r="9" spans="1:10" s="27" customFormat="1" ht="15.75" customHeight="1" x14ac:dyDescent="0.3">
      <c r="A9" s="314" t="s">
        <v>11</v>
      </c>
      <c r="B9" s="319">
        <f>'MASQUE DE SAISIE '!G9</f>
        <v>60</v>
      </c>
      <c r="C9" s="674"/>
      <c r="D9" s="675"/>
      <c r="E9" s="315"/>
      <c r="F9" s="676" t="s">
        <v>12</v>
      </c>
      <c r="G9" s="677"/>
      <c r="H9" s="320"/>
      <c r="I9" s="321">
        <f>'MASQUE DE SAISIE '!E33</f>
        <v>1</v>
      </c>
      <c r="J9" s="321" t="str">
        <f>'MASQUE DE SAISIE '!E32</f>
        <v>NC</v>
      </c>
    </row>
    <row r="10" spans="1:10" s="27" customFormat="1" ht="15.75" customHeight="1" x14ac:dyDescent="0.3">
      <c r="A10" s="314" t="s">
        <v>13</v>
      </c>
      <c r="B10" s="324">
        <f>'MASQUE DE SAISIE '!E46</f>
        <v>151.66999999999999</v>
      </c>
      <c r="C10" s="321" t="s">
        <v>14</v>
      </c>
      <c r="D10" s="426">
        <f>'MASQUE DE SAISIE '!E43</f>
        <v>12.02</v>
      </c>
      <c r="E10" s="315"/>
      <c r="F10" s="678" t="s">
        <v>229</v>
      </c>
      <c r="G10" s="675"/>
      <c r="H10" s="369">
        <f>'MASQUE DE SAISIE '!E38</f>
        <v>46023</v>
      </c>
      <c r="I10" s="325" t="s">
        <v>15</v>
      </c>
      <c r="J10" s="370">
        <f>'MASQUE DE SAISIE '!E39</f>
        <v>46053</v>
      </c>
    </row>
    <row r="11" spans="1:10" s="27" customFormat="1" ht="33.75" customHeight="1" x14ac:dyDescent="0.3">
      <c r="A11" s="326"/>
      <c r="B11" s="679" t="s">
        <v>287</v>
      </c>
      <c r="C11" s="680"/>
      <c r="D11" s="681"/>
      <c r="E11" s="327"/>
      <c r="F11" s="326" t="s">
        <v>16</v>
      </c>
      <c r="G11" s="371">
        <f>'MASQUE DE SAISIE '!E39</f>
        <v>46053</v>
      </c>
      <c r="H11" s="68"/>
      <c r="I11" s="68"/>
      <c r="J11" s="372"/>
    </row>
    <row r="12" spans="1:10" s="27" customFormat="1" ht="15.75" customHeight="1" x14ac:dyDescent="0.3">
      <c r="A12" s="682"/>
      <c r="B12" s="683"/>
      <c r="C12" s="683"/>
      <c r="D12" s="683"/>
      <c r="E12" s="683"/>
      <c r="F12" s="683"/>
      <c r="G12" s="683"/>
      <c r="H12" s="683"/>
      <c r="I12" s="683"/>
      <c r="J12" s="683"/>
    </row>
    <row r="13" spans="1:10" s="27" customFormat="1" ht="19.5" customHeight="1" x14ac:dyDescent="0.3">
      <c r="A13" s="663" t="s">
        <v>17</v>
      </c>
      <c r="B13" s="664"/>
      <c r="C13" s="664"/>
      <c r="D13" s="664"/>
      <c r="E13" s="664"/>
      <c r="F13" s="665"/>
      <c r="G13" s="462">
        <v>151.66999999999999</v>
      </c>
      <c r="H13" s="463" t="s">
        <v>18</v>
      </c>
      <c r="I13" s="464">
        <f>ROUND(J13/G13,2)</f>
        <v>19.78</v>
      </c>
      <c r="J13" s="465">
        <v>3000</v>
      </c>
    </row>
    <row r="14" spans="1:10" s="27" customFormat="1" ht="19.5" hidden="1" customHeight="1" x14ac:dyDescent="0.3">
      <c r="A14" s="663" t="s">
        <v>230</v>
      </c>
      <c r="B14" s="664"/>
      <c r="C14" s="664"/>
      <c r="D14" s="664"/>
      <c r="E14" s="664"/>
      <c r="F14" s="665"/>
      <c r="G14" s="463"/>
      <c r="H14" s="463"/>
      <c r="I14" s="464"/>
      <c r="J14" s="465"/>
    </row>
    <row r="15" spans="1:10" s="27" customFormat="1" ht="19.5" customHeight="1" x14ac:dyDescent="0.3">
      <c r="A15" s="663" t="s">
        <v>411</v>
      </c>
      <c r="B15" s="664"/>
      <c r="C15" s="664"/>
      <c r="D15" s="664"/>
      <c r="E15" s="664"/>
      <c r="F15" s="665"/>
      <c r="G15" s="468"/>
      <c r="H15" s="466"/>
      <c r="I15" s="464"/>
      <c r="J15" s="465">
        <f>'ENONCE '!E7</f>
        <v>200</v>
      </c>
    </row>
    <row r="16" spans="1:10" s="27" customFormat="1" ht="19.5" hidden="1" customHeight="1" x14ac:dyDescent="0.3">
      <c r="A16" s="663" t="s">
        <v>231</v>
      </c>
      <c r="B16" s="664"/>
      <c r="C16" s="664"/>
      <c r="D16" s="664"/>
      <c r="E16" s="664"/>
      <c r="F16" s="665"/>
      <c r="G16" s="468"/>
      <c r="H16" s="466"/>
      <c r="I16" s="464"/>
      <c r="J16" s="465"/>
    </row>
    <row r="17" spans="1:10" s="27" customFormat="1" ht="19.5" hidden="1" customHeight="1" x14ac:dyDescent="0.3">
      <c r="A17" s="663" t="s">
        <v>19</v>
      </c>
      <c r="B17" s="664"/>
      <c r="C17" s="664"/>
      <c r="D17" s="664"/>
      <c r="E17" s="664"/>
      <c r="F17" s="665"/>
      <c r="G17" s="468"/>
      <c r="H17" s="466" t="s">
        <v>18</v>
      </c>
      <c r="I17" s="464"/>
      <c r="J17" s="465"/>
    </row>
    <row r="18" spans="1:10" s="27" customFormat="1" ht="19.5" hidden="1" customHeight="1" x14ac:dyDescent="0.3">
      <c r="A18" s="663" t="s">
        <v>232</v>
      </c>
      <c r="B18" s="664"/>
      <c r="C18" s="664"/>
      <c r="D18" s="664"/>
      <c r="E18" s="664"/>
      <c r="F18" s="665"/>
      <c r="G18" s="468"/>
      <c r="H18" s="466" t="s">
        <v>18</v>
      </c>
      <c r="I18" s="464"/>
      <c r="J18" s="465">
        <f t="shared" ref="J18:J22" si="0">ROUND(G18*I18,2)</f>
        <v>0</v>
      </c>
    </row>
    <row r="19" spans="1:10" s="27" customFormat="1" ht="19.5" hidden="1" customHeight="1" x14ac:dyDescent="0.3">
      <c r="A19" s="663" t="s">
        <v>233</v>
      </c>
      <c r="B19" s="664"/>
      <c r="C19" s="664"/>
      <c r="D19" s="664"/>
      <c r="E19" s="664"/>
      <c r="F19" s="665"/>
      <c r="G19" s="468"/>
      <c r="H19" s="466" t="s">
        <v>18</v>
      </c>
      <c r="I19" s="54">
        <f>ROUND((J13+J14+J16+J17)*1.25/G13,2)</f>
        <v>24.72</v>
      </c>
      <c r="J19" s="465">
        <f t="shared" si="0"/>
        <v>0</v>
      </c>
    </row>
    <row r="20" spans="1:10" s="27" customFormat="1" ht="19.5" hidden="1" customHeight="1" x14ac:dyDescent="0.3">
      <c r="A20" s="663" t="s">
        <v>234</v>
      </c>
      <c r="B20" s="664"/>
      <c r="C20" s="664"/>
      <c r="D20" s="664"/>
      <c r="E20" s="664"/>
      <c r="F20" s="665"/>
      <c r="G20" s="468"/>
      <c r="H20" s="466" t="s">
        <v>18</v>
      </c>
      <c r="I20" s="54">
        <f>ROUND((J13+J14+J16+J17)*1.1/G13,2)</f>
        <v>21.76</v>
      </c>
      <c r="J20" s="465">
        <f t="shared" si="0"/>
        <v>0</v>
      </c>
    </row>
    <row r="21" spans="1:10" s="27" customFormat="1" ht="19.5" hidden="1" customHeight="1" x14ac:dyDescent="0.3">
      <c r="A21" s="663" t="s">
        <v>394</v>
      </c>
      <c r="B21" s="664"/>
      <c r="C21" s="664"/>
      <c r="D21" s="664"/>
      <c r="E21" s="664"/>
      <c r="F21" s="665"/>
      <c r="G21" s="469"/>
      <c r="H21" s="26"/>
      <c r="I21" s="470">
        <f>I20</f>
        <v>21.76</v>
      </c>
      <c r="J21" s="465">
        <f t="shared" si="0"/>
        <v>0</v>
      </c>
    </row>
    <row r="22" spans="1:10" s="27" customFormat="1" ht="19.5" hidden="1" customHeight="1" x14ac:dyDescent="0.3">
      <c r="A22" s="663" t="s">
        <v>395</v>
      </c>
      <c r="B22" s="664"/>
      <c r="C22" s="664"/>
      <c r="D22" s="664"/>
      <c r="E22" s="664"/>
      <c r="F22" s="665"/>
      <c r="G22" s="463"/>
      <c r="H22" s="466" t="s">
        <v>18</v>
      </c>
      <c r="I22" s="464">
        <f>+I21</f>
        <v>21.76</v>
      </c>
      <c r="J22" s="465">
        <f t="shared" si="0"/>
        <v>0</v>
      </c>
    </row>
    <row r="23" spans="1:10" s="27" customFormat="1" ht="19.5" hidden="1" customHeight="1" x14ac:dyDescent="0.3">
      <c r="A23" s="663" t="s">
        <v>401</v>
      </c>
      <c r="B23" s="664"/>
      <c r="C23" s="664"/>
      <c r="D23" s="664"/>
      <c r="E23" s="664"/>
      <c r="F23" s="665"/>
      <c r="G23" s="471"/>
      <c r="H23" s="472"/>
      <c r="I23" s="473"/>
      <c r="J23" s="465"/>
    </row>
    <row r="24" spans="1:10" s="27" customFormat="1" ht="43.5" hidden="1" customHeight="1" x14ac:dyDescent="0.3">
      <c r="A24" s="663" t="s">
        <v>20</v>
      </c>
      <c r="B24" s="664"/>
      <c r="C24" s="664"/>
      <c r="D24" s="664"/>
      <c r="E24" s="664"/>
      <c r="F24" s="665"/>
      <c r="G24" s="328"/>
      <c r="H24" s="329"/>
      <c r="I24" s="322"/>
      <c r="J24" s="330"/>
    </row>
    <row r="25" spans="1:10" s="27" customFormat="1" ht="43.5" hidden="1" customHeight="1" x14ac:dyDescent="0.3">
      <c r="A25" s="663" t="s">
        <v>21</v>
      </c>
      <c r="B25" s="664"/>
      <c r="C25" s="664"/>
      <c r="D25" s="664"/>
      <c r="E25" s="664"/>
      <c r="F25" s="665"/>
      <c r="G25" s="328"/>
      <c r="H25" s="329"/>
      <c r="I25" s="322"/>
      <c r="J25" s="330"/>
    </row>
    <row r="26" spans="1:10" s="27" customFormat="1" ht="43.5" hidden="1" customHeight="1" x14ac:dyDescent="0.3">
      <c r="A26" s="663" t="s">
        <v>22</v>
      </c>
      <c r="B26" s="664"/>
      <c r="C26" s="664"/>
      <c r="D26" s="664"/>
      <c r="E26" s="664"/>
      <c r="F26" s="665"/>
      <c r="G26" s="328"/>
      <c r="H26" s="329"/>
      <c r="I26" s="322"/>
      <c r="J26" s="330"/>
    </row>
    <row r="27" spans="1:10" s="27" customFormat="1" ht="43.5" hidden="1" customHeight="1" x14ac:dyDescent="0.3">
      <c r="A27" s="663" t="s">
        <v>23</v>
      </c>
      <c r="B27" s="664"/>
      <c r="C27" s="664"/>
      <c r="D27" s="664"/>
      <c r="E27" s="664"/>
      <c r="F27" s="665"/>
      <c r="G27" s="328"/>
      <c r="H27" s="329"/>
      <c r="I27" s="322"/>
      <c r="J27" s="330"/>
    </row>
    <row r="28" spans="1:10" s="27" customFormat="1" ht="43.5" hidden="1" customHeight="1" x14ac:dyDescent="0.3">
      <c r="A28" s="663" t="s">
        <v>24</v>
      </c>
      <c r="B28" s="664"/>
      <c r="C28" s="664"/>
      <c r="D28" s="664"/>
      <c r="E28" s="664"/>
      <c r="F28" s="665"/>
      <c r="G28" s="328"/>
      <c r="H28" s="329"/>
      <c r="I28" s="322"/>
      <c r="J28" s="330"/>
    </row>
    <row r="29" spans="1:10" s="27" customFormat="1" ht="43.5" hidden="1" customHeight="1" x14ac:dyDescent="0.3">
      <c r="A29" s="663" t="s">
        <v>25</v>
      </c>
      <c r="B29" s="664"/>
      <c r="C29" s="664"/>
      <c r="D29" s="664"/>
      <c r="E29" s="664"/>
      <c r="F29" s="665"/>
      <c r="G29" s="328"/>
      <c r="H29" s="329"/>
      <c r="I29" s="322"/>
      <c r="J29" s="330"/>
    </row>
    <row r="30" spans="1:10" s="27" customFormat="1" ht="43.5" hidden="1" customHeight="1" x14ac:dyDescent="0.3">
      <c r="A30" s="663" t="s">
        <v>26</v>
      </c>
      <c r="B30" s="664"/>
      <c r="C30" s="664"/>
      <c r="D30" s="664"/>
      <c r="E30" s="664"/>
      <c r="F30" s="665"/>
      <c r="G30" s="328"/>
      <c r="H30" s="329"/>
      <c r="I30" s="322"/>
      <c r="J30" s="330"/>
    </row>
    <row r="31" spans="1:10" s="27" customFormat="1" ht="43.5" hidden="1" customHeight="1" x14ac:dyDescent="0.3">
      <c r="A31" s="663" t="s">
        <v>27</v>
      </c>
      <c r="B31" s="664"/>
      <c r="C31" s="664"/>
      <c r="D31" s="664"/>
      <c r="E31" s="664"/>
      <c r="F31" s="665"/>
      <c r="G31" s="328"/>
      <c r="H31" s="329"/>
      <c r="I31" s="322"/>
      <c r="J31" s="330"/>
    </row>
    <row r="32" spans="1:10" s="27" customFormat="1" ht="43.5" hidden="1" customHeight="1" x14ac:dyDescent="0.3">
      <c r="A32" s="663"/>
      <c r="B32" s="664"/>
      <c r="C32" s="664"/>
      <c r="D32" s="664"/>
      <c r="E32" s="664"/>
      <c r="F32" s="665"/>
      <c r="G32" s="328"/>
      <c r="H32" s="329"/>
      <c r="I32" s="322"/>
      <c r="J32" s="330"/>
    </row>
    <row r="33" spans="1:16" s="27" customFormat="1" ht="21.75" customHeight="1" x14ac:dyDescent="0.3">
      <c r="A33" s="666" t="s">
        <v>28</v>
      </c>
      <c r="B33" s="667"/>
      <c r="C33" s="331">
        <f>'MASQUE DE SAISIE '!E44</f>
        <v>4005</v>
      </c>
      <c r="D33" s="668" t="s">
        <v>29</v>
      </c>
      <c r="E33" s="668"/>
      <c r="F33" s="668"/>
      <c r="G33" s="668"/>
      <c r="H33" s="668"/>
      <c r="I33" s="668"/>
      <c r="J33" s="431">
        <f>SUM(J13:J23)</f>
        <v>3200</v>
      </c>
    </row>
    <row r="34" spans="1:16" s="22" customFormat="1" ht="24" customHeight="1" x14ac:dyDescent="0.2">
      <c r="A34" s="669" t="s">
        <v>30</v>
      </c>
      <c r="B34" s="669"/>
      <c r="C34" s="60" t="s">
        <v>31</v>
      </c>
      <c r="D34" s="373" t="s">
        <v>32</v>
      </c>
      <c r="E34" s="373" t="s">
        <v>33</v>
      </c>
      <c r="F34" s="374" t="s">
        <v>34</v>
      </c>
      <c r="G34" s="374" t="s">
        <v>35</v>
      </c>
      <c r="I34" s="23"/>
      <c r="J34" s="23"/>
      <c r="K34" s="24"/>
    </row>
    <row r="35" spans="1:16" ht="12" customHeight="1" x14ac:dyDescent="0.25">
      <c r="A35" s="670" t="s">
        <v>36</v>
      </c>
      <c r="B35" s="670"/>
      <c r="C35" s="1"/>
      <c r="D35" s="3"/>
      <c r="E35" s="3"/>
      <c r="F35" s="1"/>
      <c r="G35" s="1"/>
    </row>
    <row r="36" spans="1:16" ht="19.5" customHeight="1" x14ac:dyDescent="0.25">
      <c r="A36" s="600" t="s">
        <v>80</v>
      </c>
      <c r="B36" s="600"/>
      <c r="C36" s="15">
        <f>J33</f>
        <v>3200</v>
      </c>
      <c r="D36" s="36"/>
      <c r="E36" s="37">
        <v>0.13</v>
      </c>
      <c r="F36" s="43">
        <f>ROUND(C36*D36,2)</f>
        <v>0</v>
      </c>
      <c r="G36" s="43">
        <f>ROUND(C36*E36,2)</f>
        <v>416</v>
      </c>
      <c r="I36" s="2"/>
      <c r="J36" s="2"/>
      <c r="O36" s="660"/>
      <c r="P36" s="660"/>
    </row>
    <row r="37" spans="1:16" ht="18" hidden="1" customHeight="1" x14ac:dyDescent="0.25">
      <c r="A37" s="600"/>
      <c r="B37" s="600"/>
      <c r="C37" s="42"/>
      <c r="D37" s="173"/>
      <c r="E37" s="37"/>
      <c r="F37" s="43"/>
      <c r="G37" s="15"/>
      <c r="O37" s="660"/>
      <c r="P37" s="660"/>
    </row>
    <row r="38" spans="1:16" ht="18.75" hidden="1" customHeight="1" x14ac:dyDescent="0.25">
      <c r="A38" s="661" t="s">
        <v>194</v>
      </c>
      <c r="B38" s="662"/>
      <c r="C38" s="15">
        <f>IF(I9=2,J33,0)</f>
        <v>0</v>
      </c>
      <c r="D38" s="36">
        <f>'MASQUE DE SAISIE '!G15</f>
        <v>0</v>
      </c>
      <c r="E38" s="36">
        <f>'MASQUE DE SAISIE '!H15</f>
        <v>0</v>
      </c>
      <c r="F38" s="43">
        <f t="shared" ref="F38:F67" si="1">ROUND(C38*D38,2)</f>
        <v>0</v>
      </c>
      <c r="G38" s="15">
        <f t="shared" ref="G38:G70" si="2">ROUND(C38*E38,2)</f>
        <v>0</v>
      </c>
      <c r="I38" s="2"/>
      <c r="O38" s="660"/>
      <c r="P38" s="660"/>
    </row>
    <row r="39" spans="1:16" ht="16.149999999999999" customHeight="1" x14ac:dyDescent="0.25">
      <c r="A39" s="661" t="s">
        <v>245</v>
      </c>
      <c r="B39" s="662"/>
      <c r="C39" s="43">
        <f>IF(I9=2,0,J33)</f>
        <v>3200</v>
      </c>
      <c r="D39" s="36">
        <f>'MASQUE DE SAISIE '!G12</f>
        <v>1.4999999999999999E-2</v>
      </c>
      <c r="E39" s="36">
        <f>'MASQUE DE SAISIE '!H12</f>
        <v>0.02</v>
      </c>
      <c r="F39" s="43">
        <f t="shared" si="1"/>
        <v>48</v>
      </c>
      <c r="G39" s="15">
        <f t="shared" si="2"/>
        <v>64</v>
      </c>
      <c r="I39" s="2"/>
      <c r="O39" s="660"/>
      <c r="P39" s="660"/>
    </row>
    <row r="40" spans="1:16" ht="18.600000000000001" customHeight="1" x14ac:dyDescent="0.25">
      <c r="A40" s="661" t="s">
        <v>247</v>
      </c>
      <c r="B40" s="662"/>
      <c r="C40" s="43">
        <f>C39</f>
        <v>3200</v>
      </c>
      <c r="D40" s="36">
        <f>'MASQUE DE SAISIE '!G13</f>
        <v>0.01</v>
      </c>
      <c r="E40" s="36">
        <f>'MASQUE DE SAISIE '!H13</f>
        <v>0.02</v>
      </c>
      <c r="F40" s="43">
        <f t="shared" si="1"/>
        <v>32</v>
      </c>
      <c r="G40" s="15">
        <f t="shared" si="2"/>
        <v>64</v>
      </c>
      <c r="I40" s="2"/>
      <c r="O40" s="660"/>
      <c r="P40" s="660"/>
    </row>
    <row r="41" spans="1:16" ht="18.600000000000001" hidden="1" customHeight="1" x14ac:dyDescent="0.3">
      <c r="A41" s="661" t="s">
        <v>248</v>
      </c>
      <c r="B41" s="662"/>
      <c r="C41" s="15">
        <f>C38</f>
        <v>0</v>
      </c>
      <c r="D41" s="36">
        <f>'MASQUE DE SAISIE '!G16</f>
        <v>0</v>
      </c>
      <c r="E41" s="36">
        <f>'MASQUE DE SAISIE '!H16</f>
        <v>0</v>
      </c>
      <c r="F41" s="43">
        <f t="shared" si="1"/>
        <v>0</v>
      </c>
      <c r="G41" s="15">
        <f t="shared" si="2"/>
        <v>0</v>
      </c>
      <c r="I41" s="27"/>
      <c r="J41" s="45"/>
      <c r="O41" s="660"/>
      <c r="P41" s="660"/>
    </row>
    <row r="42" spans="1:16" ht="18.600000000000001" hidden="1" customHeight="1" x14ac:dyDescent="0.3">
      <c r="A42" s="600" t="s">
        <v>198</v>
      </c>
      <c r="B42" s="600"/>
      <c r="C42" s="43">
        <f>IF(I9=2,IF(E41=0,IF(J33&gt;C33,C33,J33),0),0)</f>
        <v>0</v>
      </c>
      <c r="D42" s="36"/>
      <c r="E42" s="37">
        <f>'MASQUE DE SAISIE '!H18</f>
        <v>1.4999999999999999E-2</v>
      </c>
      <c r="F42" s="43">
        <f>ROUND(C42*D42,2)</f>
        <v>0</v>
      </c>
      <c r="G42" s="15">
        <f>ROUND(C42*E42,2)</f>
        <v>0</v>
      </c>
      <c r="I42" s="27"/>
      <c r="J42" s="45"/>
      <c r="O42" s="188"/>
      <c r="P42" s="188"/>
    </row>
    <row r="43" spans="1:16" ht="18.600000000000001" hidden="1" customHeight="1" x14ac:dyDescent="0.3">
      <c r="A43" s="655" t="s">
        <v>387</v>
      </c>
      <c r="B43" s="655"/>
      <c r="C43" s="223">
        <f>J33</f>
        <v>3200</v>
      </c>
      <c r="D43" s="36">
        <f>'MASQUE DE SAISIE '!G17</f>
        <v>0</v>
      </c>
      <c r="E43" s="37">
        <f>'MASQUE DE SAISIE '!H17</f>
        <v>0</v>
      </c>
      <c r="F43" s="43">
        <f>ROUND(C43*D43,2)</f>
        <v>0</v>
      </c>
      <c r="G43" s="15">
        <f>ROUND(C43*E43,2)</f>
        <v>0</v>
      </c>
      <c r="I43" s="27"/>
      <c r="J43" s="45"/>
      <c r="O43" s="188"/>
      <c r="P43" s="188"/>
    </row>
    <row r="44" spans="1:16" ht="21" customHeight="1" x14ac:dyDescent="0.3">
      <c r="A44" s="661" t="s">
        <v>406</v>
      </c>
      <c r="B44" s="662"/>
      <c r="C44" s="43">
        <f>J33</f>
        <v>3200</v>
      </c>
      <c r="D44" s="475"/>
      <c r="E44" s="475">
        <f>'ENONCE '!G17</f>
        <v>3.0000000000000001E-3</v>
      </c>
      <c r="F44" s="475"/>
      <c r="G44" s="15">
        <f>ROUND(C44*E44,2)</f>
        <v>9.6</v>
      </c>
      <c r="I44" s="27"/>
      <c r="J44" s="27"/>
      <c r="O44" s="660"/>
      <c r="P44" s="660"/>
    </row>
    <row r="45" spans="1:16" ht="18.600000000000001" hidden="1" customHeight="1" x14ac:dyDescent="0.3">
      <c r="A45" s="649"/>
      <c r="B45" s="649"/>
      <c r="C45" s="15"/>
      <c r="D45" s="36"/>
      <c r="E45" s="37"/>
      <c r="F45" s="43"/>
      <c r="G45" s="15"/>
      <c r="I45" s="27"/>
      <c r="J45" s="27"/>
      <c r="O45" s="660"/>
      <c r="P45" s="660"/>
    </row>
    <row r="46" spans="1:16" ht="18.600000000000001" hidden="1" customHeight="1" x14ac:dyDescent="0.3">
      <c r="A46" s="649"/>
      <c r="B46" s="649"/>
      <c r="C46" s="15"/>
      <c r="D46" s="36"/>
      <c r="E46" s="37"/>
      <c r="F46" s="43"/>
      <c r="G46" s="15"/>
      <c r="I46" s="27"/>
      <c r="J46" s="27"/>
      <c r="O46" s="660"/>
      <c r="P46" s="660"/>
    </row>
    <row r="47" spans="1:16" ht="18.600000000000001" customHeight="1" x14ac:dyDescent="0.25">
      <c r="A47" s="651" t="s">
        <v>37</v>
      </c>
      <c r="B47" s="651"/>
      <c r="C47" s="17">
        <f>J33</f>
        <v>3200</v>
      </c>
      <c r="D47" s="36"/>
      <c r="E47" s="37">
        <f>'MASQUE DE SAISIE '!H21</f>
        <v>1.4999999999999999E-2</v>
      </c>
      <c r="F47" s="43">
        <f t="shared" si="1"/>
        <v>0</v>
      </c>
      <c r="G47" s="15">
        <f t="shared" si="2"/>
        <v>48</v>
      </c>
      <c r="L47" s="659"/>
    </row>
    <row r="48" spans="1:16" ht="12.75" customHeight="1" x14ac:dyDescent="0.25">
      <c r="A48" s="651" t="s">
        <v>38</v>
      </c>
      <c r="B48" s="651"/>
      <c r="C48" s="18"/>
      <c r="D48" s="36"/>
      <c r="E48" s="37"/>
      <c r="F48" s="43"/>
      <c r="G48" s="15"/>
      <c r="L48" s="659"/>
    </row>
    <row r="49" spans="1:17" ht="18" customHeight="1" x14ac:dyDescent="0.3">
      <c r="A49" s="655" t="s">
        <v>39</v>
      </c>
      <c r="B49" s="655"/>
      <c r="C49" s="43">
        <f>IF(J33&gt;C33,C33,J33)</f>
        <v>3200</v>
      </c>
      <c r="D49" s="36">
        <f>VLOOKUP(A49,TAUX2023,3,FALSE)</f>
        <v>6.9000000000000006E-2</v>
      </c>
      <c r="E49" s="37">
        <f xml:space="preserve"> VLOOKUP(A49,TAUX2023,4,FALSE)</f>
        <v>8.5500000000000007E-2</v>
      </c>
      <c r="F49" s="43">
        <f t="shared" si="1"/>
        <v>220.8</v>
      </c>
      <c r="G49" s="15">
        <f t="shared" si="2"/>
        <v>273.60000000000002</v>
      </c>
      <c r="I49" s="618"/>
      <c r="J49" s="618"/>
    </row>
    <row r="50" spans="1:17" ht="18" customHeight="1" x14ac:dyDescent="0.3">
      <c r="A50" s="655" t="s">
        <v>40</v>
      </c>
      <c r="B50" s="655"/>
      <c r="C50" s="15">
        <f>J33</f>
        <v>3200</v>
      </c>
      <c r="D50" s="36">
        <f>VLOOKUP(A50,TAUX2023,3,FALSE)</f>
        <v>4.0000000000000001E-3</v>
      </c>
      <c r="E50" s="37">
        <f xml:space="preserve"> VLOOKUP(A50,TAUX2023,4,FALSE)</f>
        <v>2.1100000000000001E-2</v>
      </c>
      <c r="F50" s="43">
        <f t="shared" si="1"/>
        <v>12.8</v>
      </c>
      <c r="G50" s="15">
        <f t="shared" si="2"/>
        <v>67.52</v>
      </c>
      <c r="I50" s="27"/>
      <c r="J50" s="45"/>
    </row>
    <row r="51" spans="1:17" ht="14.45" customHeight="1" x14ac:dyDescent="0.3">
      <c r="A51" s="655" t="s">
        <v>41</v>
      </c>
      <c r="B51" s="655"/>
      <c r="C51" s="15">
        <f>IF(J33&gt;C33,C33,J33)</f>
        <v>3200</v>
      </c>
      <c r="D51" s="173">
        <f>'TABLE DES TAUX 2026'!B73</f>
        <v>4.0099999999999997E-2</v>
      </c>
      <c r="E51" s="174">
        <f>'TABLE DES TAUX 2026'!C73</f>
        <v>6.0100000000000001E-2</v>
      </c>
      <c r="F51" s="43">
        <f t="shared" si="1"/>
        <v>128.32</v>
      </c>
      <c r="G51" s="15">
        <f t="shared" si="2"/>
        <v>192.32</v>
      </c>
      <c r="H51" s="5"/>
      <c r="I51" s="27"/>
      <c r="J51" s="45"/>
      <c r="K51" s="7"/>
      <c r="M51" s="657"/>
      <c r="N51" s="657"/>
      <c r="O51" s="657"/>
    </row>
    <row r="52" spans="1:17" ht="0.6" customHeight="1" x14ac:dyDescent="0.3">
      <c r="A52" s="655" t="s">
        <v>42</v>
      </c>
      <c r="B52" s="655"/>
      <c r="C52" s="15">
        <f>IF(J33&gt;8*C33,7*C33,IF(J33&gt;C33,J33-C33,0))</f>
        <v>0</v>
      </c>
      <c r="D52" s="173">
        <f>'TABLE DES TAUX 2026'!D79</f>
        <v>9.8600000000000007E-2</v>
      </c>
      <c r="E52" s="174">
        <f>'TABLE DES TAUX 2026'!E79</f>
        <v>0.14779999999999999</v>
      </c>
      <c r="F52" s="43">
        <f t="shared" si="1"/>
        <v>0</v>
      </c>
      <c r="G52" s="15">
        <f t="shared" si="2"/>
        <v>0</v>
      </c>
      <c r="H52" s="5"/>
      <c r="I52" s="27"/>
      <c r="J52" s="45"/>
      <c r="K52" s="7"/>
      <c r="M52" s="658"/>
      <c r="N52" s="658"/>
      <c r="O52" s="11"/>
      <c r="P52" s="13"/>
      <c r="Q52" s="11"/>
    </row>
    <row r="53" spans="1:17" ht="14.45" hidden="1" customHeight="1" x14ac:dyDescent="0.25">
      <c r="A53" s="649"/>
      <c r="B53" s="649"/>
      <c r="C53" s="15"/>
      <c r="D53" s="173"/>
      <c r="E53" s="174"/>
      <c r="F53" s="43"/>
      <c r="G53" s="15"/>
      <c r="H53" s="5"/>
      <c r="I53" s="6"/>
      <c r="J53" s="7"/>
      <c r="K53" s="7"/>
      <c r="M53" s="59"/>
      <c r="N53" s="59"/>
      <c r="O53" s="11"/>
      <c r="P53" s="13"/>
      <c r="Q53" s="11"/>
    </row>
    <row r="54" spans="1:17" ht="14.45" hidden="1" customHeight="1" x14ac:dyDescent="0.3">
      <c r="A54" s="649"/>
      <c r="B54" s="649"/>
      <c r="C54" s="15"/>
      <c r="D54" s="173"/>
      <c r="E54" s="174"/>
      <c r="F54" s="43"/>
      <c r="G54" s="15"/>
      <c r="H54" s="5"/>
      <c r="I54" s="618"/>
      <c r="J54" s="618"/>
      <c r="K54" s="7"/>
      <c r="M54" s="59"/>
      <c r="N54" s="59"/>
      <c r="O54" s="11"/>
      <c r="P54" s="13"/>
      <c r="Q54" s="11"/>
    </row>
    <row r="55" spans="1:17" ht="14.45" hidden="1" customHeight="1" x14ac:dyDescent="0.3">
      <c r="A55" s="649"/>
      <c r="B55" s="649"/>
      <c r="C55" s="177"/>
      <c r="D55" s="173"/>
      <c r="E55" s="174"/>
      <c r="F55" s="43"/>
      <c r="G55" s="15"/>
      <c r="H55" s="5"/>
      <c r="I55" s="27"/>
      <c r="J55" s="45"/>
      <c r="K55" s="7"/>
      <c r="M55" s="59"/>
      <c r="N55" s="59"/>
      <c r="O55" s="11"/>
      <c r="P55" s="13"/>
      <c r="Q55" s="11"/>
    </row>
    <row r="56" spans="1:17" ht="14.45" hidden="1" customHeight="1" x14ac:dyDescent="0.3">
      <c r="A56" s="649"/>
      <c r="B56" s="649"/>
      <c r="C56" s="15"/>
      <c r="D56" s="173"/>
      <c r="E56" s="174"/>
      <c r="F56" s="43"/>
      <c r="G56" s="15"/>
      <c r="H56" s="5"/>
      <c r="I56" s="27"/>
      <c r="J56" s="45"/>
      <c r="K56" s="7"/>
      <c r="M56" s="59"/>
      <c r="N56" s="59"/>
      <c r="O56" s="11"/>
      <c r="P56" s="13"/>
      <c r="Q56" s="11"/>
    </row>
    <row r="57" spans="1:17" ht="19.149999999999999" customHeight="1" x14ac:dyDescent="0.3">
      <c r="A57" s="654" t="s">
        <v>43</v>
      </c>
      <c r="B57" s="654"/>
      <c r="D57" s="36"/>
      <c r="E57" s="37"/>
      <c r="F57" s="43"/>
      <c r="G57" s="15"/>
      <c r="H57" s="5"/>
      <c r="I57" s="27"/>
      <c r="J57" s="45"/>
      <c r="M57" s="652"/>
      <c r="N57" s="652"/>
      <c r="P57" s="14"/>
      <c r="Q57" s="2"/>
    </row>
    <row r="58" spans="1:17" ht="15" customHeight="1" x14ac:dyDescent="0.3">
      <c r="A58" s="655" t="s">
        <v>458</v>
      </c>
      <c r="B58" s="655"/>
      <c r="C58" s="15">
        <f>J33</f>
        <v>3200</v>
      </c>
      <c r="D58" s="173"/>
      <c r="E58" s="174">
        <f>'TABLE DES TAUX 2026'!D10</f>
        <v>5.2499999999999998E-2</v>
      </c>
      <c r="F58" s="43">
        <f t="shared" si="1"/>
        <v>0</v>
      </c>
      <c r="G58" s="15">
        <f>ROUND(C58*E58,2)</f>
        <v>168</v>
      </c>
      <c r="H58" s="5"/>
      <c r="I58" s="27"/>
      <c r="J58" s="45"/>
      <c r="M58" s="51"/>
      <c r="N58" s="51"/>
      <c r="P58" s="14"/>
      <c r="Q58" s="2"/>
    </row>
    <row r="59" spans="1:17" ht="1.5" hidden="1" customHeight="1" x14ac:dyDescent="0.25">
      <c r="A59" s="655"/>
      <c r="B59" s="655"/>
      <c r="C59" s="43"/>
      <c r="D59" s="173"/>
      <c r="E59" s="174"/>
      <c r="F59" s="43"/>
      <c r="G59" s="15"/>
      <c r="H59" s="5"/>
      <c r="M59" s="51"/>
      <c r="N59" s="51"/>
      <c r="P59" s="14"/>
      <c r="Q59" s="2"/>
    </row>
    <row r="60" spans="1:17" ht="19.149999999999999" customHeight="1" x14ac:dyDescent="0.25">
      <c r="A60" s="651" t="s">
        <v>44</v>
      </c>
      <c r="B60" s="651"/>
      <c r="C60" s="20"/>
      <c r="D60" s="173"/>
      <c r="E60" s="174"/>
      <c r="F60" s="43">
        <f t="shared" si="1"/>
        <v>0</v>
      </c>
      <c r="G60" s="15"/>
      <c r="H60" s="8"/>
      <c r="M60" s="652"/>
      <c r="N60" s="652"/>
      <c r="O60" s="12"/>
    </row>
    <row r="61" spans="1:17" ht="16.5" customHeight="1" x14ac:dyDescent="0.25">
      <c r="A61" s="653" t="s">
        <v>201</v>
      </c>
      <c r="B61" s="653"/>
      <c r="C61" s="42">
        <f>IF(J33&gt;4*C33,4*C33,J33)</f>
        <v>3200</v>
      </c>
      <c r="D61" s="173"/>
      <c r="E61" s="174">
        <f>'TABLE DES TAUX 2026'!D13+'TABLE DES TAUX 2026'!D14</f>
        <v>4.2500000000000003E-2</v>
      </c>
      <c r="F61" s="43">
        <f t="shared" si="1"/>
        <v>0</v>
      </c>
      <c r="G61" s="15">
        <f t="shared" si="2"/>
        <v>136</v>
      </c>
      <c r="H61" s="8"/>
      <c r="M61" s="51"/>
      <c r="N61" s="51"/>
      <c r="O61" s="12"/>
    </row>
    <row r="62" spans="1:17" ht="16.5" hidden="1" customHeight="1" x14ac:dyDescent="0.25">
      <c r="A62" s="656"/>
      <c r="B62" s="606"/>
      <c r="C62" s="42"/>
      <c r="D62" s="173"/>
      <c r="E62" s="174"/>
      <c r="F62" s="43"/>
      <c r="G62" s="15"/>
      <c r="H62" s="8"/>
      <c r="M62" s="51"/>
      <c r="N62" s="51"/>
      <c r="O62" s="12"/>
    </row>
    <row r="63" spans="1:17" ht="16.5" hidden="1" customHeight="1" x14ac:dyDescent="0.25">
      <c r="A63" s="607" t="s">
        <v>271</v>
      </c>
      <c r="B63" s="608"/>
      <c r="C63" s="42">
        <f>IF(I9=2,C61,0)</f>
        <v>0</v>
      </c>
      <c r="D63" s="175">
        <f>VLOOKUP(A63,TAUX2023,3,FALSE)</f>
        <v>2.4000000000000001E-4</v>
      </c>
      <c r="E63" s="176">
        <f xml:space="preserve"> VLOOKUP(A63,TAUX2023,4,FALSE)</f>
        <v>3.6000000000000002E-4</v>
      </c>
      <c r="F63" s="43">
        <f t="shared" si="1"/>
        <v>0</v>
      </c>
      <c r="G63" s="15">
        <f t="shared" si="2"/>
        <v>0</v>
      </c>
      <c r="H63" s="8"/>
      <c r="M63" s="51"/>
      <c r="N63" s="51"/>
      <c r="O63" s="12"/>
    </row>
    <row r="64" spans="1:17" ht="16.5" customHeight="1" x14ac:dyDescent="0.25">
      <c r="A64" s="654" t="s">
        <v>45</v>
      </c>
      <c r="B64" s="654"/>
      <c r="C64" s="15"/>
      <c r="D64" s="175"/>
      <c r="E64" s="176"/>
      <c r="F64" s="43">
        <f t="shared" si="1"/>
        <v>0</v>
      </c>
      <c r="G64" s="15">
        <f>E118</f>
        <v>206.91</v>
      </c>
      <c r="M64" s="652"/>
      <c r="N64" s="652"/>
      <c r="O64" s="5"/>
    </row>
    <row r="65" spans="1:12" ht="33.75" hidden="1" customHeight="1" x14ac:dyDescent="0.25">
      <c r="A65" s="648" t="s">
        <v>47</v>
      </c>
      <c r="B65" s="648"/>
      <c r="C65" s="20"/>
      <c r="D65" s="36"/>
      <c r="E65" s="16"/>
      <c r="F65" s="43"/>
      <c r="G65" s="15"/>
    </row>
    <row r="66" spans="1:12" ht="18" customHeight="1" x14ac:dyDescent="0.25">
      <c r="A66" s="600" t="s">
        <v>48</v>
      </c>
      <c r="B66" s="600"/>
      <c r="C66" s="43">
        <f>J33*0.9825+G39+G40</f>
        <v>3272</v>
      </c>
      <c r="D66" s="173">
        <f>VLOOKUP(A66,TAUX2023,3,FALSE)</f>
        <v>6.8000000000000005E-2</v>
      </c>
      <c r="E66" s="186"/>
      <c r="F66" s="43">
        <f t="shared" si="1"/>
        <v>222.5</v>
      </c>
      <c r="G66" s="15"/>
      <c r="I66" s="2"/>
      <c r="J66" s="2"/>
    </row>
    <row r="67" spans="1:12" ht="21.75" customHeight="1" x14ac:dyDescent="0.25">
      <c r="A67" s="600" t="s">
        <v>49</v>
      </c>
      <c r="B67" s="600"/>
      <c r="C67" s="15">
        <f>C66</f>
        <v>3272</v>
      </c>
      <c r="D67" s="173">
        <f>VLOOKUP(A67,TAUX2023,3,FALSE)</f>
        <v>2.9000000000000001E-2</v>
      </c>
      <c r="E67" s="186"/>
      <c r="F67" s="43">
        <f t="shared" si="1"/>
        <v>94.89</v>
      </c>
      <c r="G67" s="15"/>
      <c r="I67" s="2"/>
      <c r="J67" s="2"/>
      <c r="K67" s="2"/>
    </row>
    <row r="68" spans="1:12" ht="28.5" hidden="1" customHeight="1" x14ac:dyDescent="0.25">
      <c r="A68" s="600" t="s">
        <v>50</v>
      </c>
      <c r="B68" s="600"/>
      <c r="C68" s="53">
        <f>'BP FORMAT JUILLET 2023'!C68</f>
        <v>0</v>
      </c>
      <c r="D68" s="173">
        <f>+D66</f>
        <v>6.8000000000000005E-2</v>
      </c>
      <c r="E68" s="186"/>
      <c r="F68" s="43">
        <f>ROUND(C68*D68,2)</f>
        <v>0</v>
      </c>
      <c r="G68" s="15">
        <f t="shared" si="2"/>
        <v>0</v>
      </c>
      <c r="J68" s="2"/>
      <c r="K68" s="2"/>
    </row>
    <row r="69" spans="1:12" ht="28.5" hidden="1" customHeight="1" x14ac:dyDescent="0.25">
      <c r="A69" s="600" t="s">
        <v>51</v>
      </c>
      <c r="B69" s="600"/>
      <c r="C69" s="53">
        <f>'BP FORMAT JUILLET 2023'!C69</f>
        <v>0</v>
      </c>
      <c r="D69" s="173">
        <f>+D68</f>
        <v>6.8000000000000005E-2</v>
      </c>
      <c r="E69" s="186"/>
      <c r="F69" s="43">
        <f>ROUND(C69*D69,2)</f>
        <v>0</v>
      </c>
      <c r="G69" s="15">
        <f t="shared" si="2"/>
        <v>0</v>
      </c>
      <c r="J69" s="2"/>
      <c r="K69" s="2"/>
    </row>
    <row r="70" spans="1:12" ht="28.5" hidden="1" customHeight="1" x14ac:dyDescent="0.25">
      <c r="A70" s="600" t="s">
        <v>52</v>
      </c>
      <c r="B70" s="600"/>
      <c r="C70" s="53">
        <f>C68+C69</f>
        <v>0</v>
      </c>
      <c r="D70" s="173">
        <f>+D67</f>
        <v>2.9000000000000001E-2</v>
      </c>
      <c r="E70" s="186"/>
      <c r="F70" s="43">
        <f>ROUND(C70*D70,2)</f>
        <v>0</v>
      </c>
      <c r="G70" s="15">
        <f t="shared" si="2"/>
        <v>0</v>
      </c>
      <c r="J70" s="2"/>
      <c r="K70" s="2"/>
    </row>
    <row r="71" spans="1:12" ht="27" customHeight="1" x14ac:dyDescent="0.25">
      <c r="A71" s="648" t="s">
        <v>226</v>
      </c>
      <c r="B71" s="648"/>
      <c r="C71" s="15"/>
      <c r="D71" s="36"/>
      <c r="E71" s="16"/>
      <c r="F71" s="15"/>
      <c r="G71" s="428">
        <f>IF(B9&lt;20,-(G20+G22+G21)*1.5,(G20+G21+G22)*0.5)-'MATRICE RGDU 1 '!C45</f>
        <v>-263.36</v>
      </c>
      <c r="J71" s="2"/>
      <c r="K71" s="2"/>
    </row>
    <row r="72" spans="1:12" ht="27" hidden="1" customHeight="1" x14ac:dyDescent="0.25">
      <c r="A72" s="649" t="s">
        <v>53</v>
      </c>
      <c r="B72" s="649"/>
      <c r="C72" s="53">
        <f>'HEURES SUPPLEMENTAIRES '!F141</f>
        <v>0</v>
      </c>
      <c r="D72" s="36"/>
      <c r="E72" s="172">
        <f>'HEURES SUPPLEMENTAIRES '!D57</f>
        <v>0.11310000000000001</v>
      </c>
      <c r="F72" s="21">
        <f>-ROUND(C72*E72,2)</f>
        <v>0</v>
      </c>
      <c r="G72" s="19"/>
      <c r="I72" s="2"/>
      <c r="J72" s="2"/>
      <c r="K72" s="2"/>
    </row>
    <row r="73" spans="1:12" ht="27" customHeight="1" x14ac:dyDescent="0.25">
      <c r="A73" s="649" t="s">
        <v>54</v>
      </c>
      <c r="B73" s="649"/>
      <c r="C73" s="15"/>
      <c r="D73" s="15"/>
      <c r="E73" s="15"/>
      <c r="F73" s="53">
        <f>SUM(F36:F72)</f>
        <v>759.31000000000006</v>
      </c>
      <c r="G73" s="53">
        <f>SUM(G36:G72)</f>
        <v>1382.5900000000001</v>
      </c>
      <c r="H73" s="2"/>
      <c r="I73" s="2"/>
    </row>
    <row r="74" spans="1:12" ht="20.25" customHeight="1" x14ac:dyDescent="0.25">
      <c r="A74" s="649" t="s">
        <v>375</v>
      </c>
      <c r="B74" s="649"/>
      <c r="C74" s="15"/>
      <c r="D74" s="15"/>
      <c r="E74" s="20"/>
      <c r="F74" s="15">
        <f>'MASQUE DE SAISIE '!E47*'MASQUE DE SAISIE '!E48</f>
        <v>132</v>
      </c>
      <c r="G74" s="224">
        <f>'MASQUE DE SAISIE '!E47*'MASQUE DE SAISIE '!E49</f>
        <v>132</v>
      </c>
    </row>
    <row r="75" spans="1:12" ht="20.25" customHeight="1" x14ac:dyDescent="0.25">
      <c r="A75" s="650" t="s">
        <v>55</v>
      </c>
      <c r="B75" s="650"/>
      <c r="C75" s="44"/>
      <c r="D75" s="44"/>
      <c r="E75" s="29"/>
      <c r="F75" s="44">
        <f>'MASQUE DE SAISIE '!E50</f>
        <v>45.4</v>
      </c>
      <c r="G75" s="29"/>
    </row>
    <row r="76" spans="1:12" ht="20.25" hidden="1" customHeight="1" x14ac:dyDescent="0.25">
      <c r="A76" s="650"/>
      <c r="B76" s="650"/>
      <c r="C76" s="44"/>
      <c r="D76" s="44"/>
      <c r="E76" s="29"/>
      <c r="F76" s="44"/>
      <c r="G76" s="29"/>
      <c r="I76" s="9"/>
      <c r="J76" s="10"/>
      <c r="K76" s="9"/>
    </row>
    <row r="77" spans="1:12" ht="23.25" customHeight="1" x14ac:dyDescent="0.25">
      <c r="A77" s="632" t="s">
        <v>64</v>
      </c>
      <c r="B77" s="632"/>
      <c r="C77" s="632"/>
      <c r="D77" s="632"/>
      <c r="E77" s="632"/>
      <c r="F77" s="632"/>
      <c r="G77" s="632"/>
      <c r="H77" s="632"/>
      <c r="I77" s="632"/>
      <c r="J77" s="633">
        <f>J33-F73+F75-F76-F74</f>
        <v>2354.09</v>
      </c>
      <c r="K77" s="634"/>
      <c r="L77" s="634"/>
    </row>
    <row r="78" spans="1:12" ht="5.25" customHeight="1" x14ac:dyDescent="0.25">
      <c r="A78" s="635" t="s">
        <v>56</v>
      </c>
      <c r="B78" s="635"/>
      <c r="C78" s="635"/>
      <c r="D78" s="635"/>
      <c r="E78" s="635"/>
      <c r="F78" s="635"/>
      <c r="G78" s="635"/>
      <c r="H78" s="635"/>
      <c r="I78" s="635"/>
      <c r="J78" s="636">
        <f>F125</f>
        <v>45.175999999999995</v>
      </c>
      <c r="K78" s="637"/>
      <c r="L78" s="637"/>
    </row>
    <row r="79" spans="1:12" ht="5.25" customHeight="1" x14ac:dyDescent="0.25">
      <c r="A79" s="635"/>
      <c r="B79" s="635"/>
      <c r="C79" s="635"/>
      <c r="D79" s="635"/>
      <c r="E79" s="635"/>
      <c r="F79" s="635"/>
      <c r="G79" s="635"/>
      <c r="H79" s="635"/>
      <c r="I79" s="635"/>
      <c r="J79" s="637"/>
      <c r="K79" s="637"/>
      <c r="L79" s="637"/>
    </row>
    <row r="80" spans="1:12" ht="5.25" customHeight="1" x14ac:dyDescent="0.25">
      <c r="A80" s="635"/>
      <c r="B80" s="635"/>
      <c r="C80" s="635"/>
      <c r="D80" s="635"/>
      <c r="E80" s="635"/>
      <c r="F80" s="635"/>
      <c r="G80" s="635"/>
      <c r="H80" s="635"/>
      <c r="I80" s="635"/>
      <c r="J80" s="637"/>
      <c r="K80" s="637"/>
      <c r="L80" s="637"/>
    </row>
    <row r="81" spans="1:14" ht="20.25" customHeight="1" x14ac:dyDescent="0.25">
      <c r="A81" s="638" t="s">
        <v>65</v>
      </c>
      <c r="B81" s="639"/>
      <c r="C81" s="640"/>
      <c r="D81" s="644" t="s">
        <v>59</v>
      </c>
      <c r="E81" s="644"/>
      <c r="F81" s="644" t="s">
        <v>66</v>
      </c>
      <c r="G81" s="644"/>
      <c r="H81" s="57" t="s">
        <v>60</v>
      </c>
      <c r="I81" s="25"/>
      <c r="J81" s="25"/>
      <c r="K81" s="25"/>
      <c r="L81" s="25"/>
    </row>
    <row r="82" spans="1:14" x14ac:dyDescent="0.25">
      <c r="A82" s="641"/>
      <c r="B82" s="642"/>
      <c r="C82" s="643"/>
      <c r="D82" s="645">
        <f>J85</f>
        <v>2599.58</v>
      </c>
      <c r="E82" s="646"/>
      <c r="F82" s="647">
        <v>5.2999999999999999E-2</v>
      </c>
      <c r="G82" s="637"/>
      <c r="H82" s="58">
        <f>ROUND(D82*F82,2)</f>
        <v>137.78</v>
      </c>
      <c r="I82" s="25"/>
      <c r="J82" s="25"/>
      <c r="K82" s="25"/>
      <c r="L82" s="25"/>
    </row>
    <row r="83" spans="1:14" x14ac:dyDescent="0.25">
      <c r="A83" s="624" t="s">
        <v>57</v>
      </c>
      <c r="B83" s="624"/>
      <c r="C83" s="624"/>
      <c r="D83" s="624"/>
      <c r="E83" s="624"/>
      <c r="F83" s="624"/>
      <c r="G83" s="624"/>
      <c r="H83" s="624"/>
      <c r="I83" s="624"/>
      <c r="J83" s="627">
        <f>G73+J33</f>
        <v>4582.59</v>
      </c>
      <c r="K83" s="628"/>
      <c r="L83" s="628"/>
    </row>
    <row r="84" spans="1:14" x14ac:dyDescent="0.25">
      <c r="A84" s="624" t="s">
        <v>227</v>
      </c>
      <c r="B84" s="624"/>
      <c r="C84" s="624"/>
      <c r="D84" s="624"/>
      <c r="E84" s="624"/>
      <c r="F84" s="624"/>
      <c r="G84" s="624"/>
      <c r="H84" s="624"/>
      <c r="I84" s="624"/>
      <c r="J84" s="627">
        <f>J77-H82</f>
        <v>2216.31</v>
      </c>
      <c r="K84" s="628"/>
      <c r="L84" s="628"/>
    </row>
    <row r="85" spans="1:14" x14ac:dyDescent="0.25">
      <c r="A85" s="624" t="s">
        <v>61</v>
      </c>
      <c r="B85" s="624"/>
      <c r="C85" s="624"/>
      <c r="D85" s="624"/>
      <c r="E85" s="624"/>
      <c r="F85" s="624"/>
      <c r="G85" s="624"/>
      <c r="H85" s="624"/>
      <c r="I85" s="624"/>
      <c r="J85" s="625">
        <f>J33-F73+F67+G39</f>
        <v>2599.58</v>
      </c>
      <c r="K85" s="626"/>
      <c r="L85" s="626"/>
      <c r="N85" s="2"/>
    </row>
    <row r="86" spans="1:14" x14ac:dyDescent="0.25">
      <c r="A86" s="66"/>
      <c r="B86" s="358" t="s">
        <v>63</v>
      </c>
      <c r="C86" s="358" t="s">
        <v>275</v>
      </c>
      <c r="D86" s="629" t="s">
        <v>277</v>
      </c>
      <c r="E86" s="630"/>
      <c r="F86" s="631" t="s">
        <v>278</v>
      </c>
      <c r="G86" s="631"/>
      <c r="H86" s="376"/>
      <c r="I86" s="376"/>
      <c r="J86" s="183"/>
      <c r="K86" s="361"/>
      <c r="L86" s="361"/>
    </row>
    <row r="87" spans="1:14" ht="21" customHeight="1" x14ac:dyDescent="0.25">
      <c r="A87" s="377" t="s">
        <v>276</v>
      </c>
      <c r="B87" s="70">
        <f>H82</f>
        <v>137.78</v>
      </c>
      <c r="C87" s="70">
        <f>+B87</f>
        <v>137.78</v>
      </c>
      <c r="D87" s="364" t="s">
        <v>101</v>
      </c>
      <c r="E87" s="70">
        <v>30</v>
      </c>
      <c r="F87" s="364" t="s">
        <v>288</v>
      </c>
      <c r="G87" s="70">
        <f>7*2.5</f>
        <v>17.5</v>
      </c>
      <c r="H87" s="375"/>
      <c r="I87" s="376"/>
      <c r="J87" s="183"/>
      <c r="K87" s="361"/>
      <c r="L87" s="361"/>
    </row>
    <row r="88" spans="1:14" ht="21" customHeight="1" x14ac:dyDescent="0.25">
      <c r="A88" s="378" t="s">
        <v>280</v>
      </c>
      <c r="B88" s="365">
        <f>C72</f>
        <v>0</v>
      </c>
      <c r="C88" s="70">
        <f t="shared" ref="C88:C90" si="3">+B88</f>
        <v>0</v>
      </c>
      <c r="D88" s="364" t="s">
        <v>95</v>
      </c>
      <c r="E88" s="70">
        <v>28</v>
      </c>
      <c r="F88" s="364" t="s">
        <v>237</v>
      </c>
      <c r="G88" s="70">
        <v>2.5</v>
      </c>
      <c r="H88" s="376"/>
      <c r="I88" s="376"/>
      <c r="J88" s="183"/>
      <c r="K88" s="361"/>
      <c r="L88" s="361"/>
    </row>
    <row r="89" spans="1:14" ht="17.25" customHeight="1" x14ac:dyDescent="0.25">
      <c r="A89" s="379" t="s">
        <v>179</v>
      </c>
      <c r="B89" s="365">
        <f>J33</f>
        <v>3200</v>
      </c>
      <c r="C89" s="70">
        <f t="shared" si="3"/>
        <v>3200</v>
      </c>
      <c r="D89" s="364" t="s">
        <v>236</v>
      </c>
      <c r="E89" s="70">
        <f>E87-E88</f>
        <v>2</v>
      </c>
      <c r="F89" s="364" t="s">
        <v>236</v>
      </c>
      <c r="G89" s="70">
        <f>+G87+G88</f>
        <v>20</v>
      </c>
      <c r="H89" s="376"/>
      <c r="I89" s="376"/>
      <c r="J89" s="183"/>
      <c r="K89" s="361"/>
      <c r="L89" s="361"/>
    </row>
    <row r="90" spans="1:14" ht="17.25" customHeight="1" x14ac:dyDescent="0.25">
      <c r="A90" s="379" t="s">
        <v>61</v>
      </c>
      <c r="B90" s="365">
        <f>J85</f>
        <v>2599.58</v>
      </c>
      <c r="C90" s="70">
        <f t="shared" si="3"/>
        <v>2599.58</v>
      </c>
      <c r="D90" s="360"/>
      <c r="E90" s="360"/>
      <c r="F90" s="360"/>
      <c r="G90" s="360"/>
      <c r="H90" s="376"/>
      <c r="I90" s="376"/>
      <c r="J90" s="183"/>
      <c r="K90" s="361"/>
      <c r="L90" s="361"/>
    </row>
    <row r="91" spans="1:14" ht="15" customHeight="1" x14ac:dyDescent="0.25">
      <c r="A91" s="623" t="s">
        <v>58</v>
      </c>
      <c r="B91" s="623"/>
      <c r="C91" s="623"/>
      <c r="D91" s="623"/>
      <c r="E91" s="623"/>
      <c r="F91" s="25"/>
      <c r="G91" s="25"/>
      <c r="H91" s="25"/>
      <c r="I91" s="25"/>
      <c r="J91" s="25"/>
      <c r="K91" s="25"/>
      <c r="L91" s="25"/>
    </row>
    <row r="92" spans="1:14" s="25" customFormat="1" ht="12" customHeight="1" x14ac:dyDescent="0.25">
      <c r="A92" s="46" t="s">
        <v>62</v>
      </c>
    </row>
    <row r="93" spans="1:14" x14ac:dyDescent="0.25">
      <c r="A93" s="25"/>
      <c r="B93" s="25"/>
      <c r="C93" s="25"/>
      <c r="D93" s="25"/>
      <c r="E93" s="25"/>
      <c r="F93" s="25"/>
      <c r="G93" s="25"/>
      <c r="H93" s="25"/>
      <c r="I93" s="25"/>
      <c r="J93" s="25"/>
      <c r="K93" s="25"/>
      <c r="L93" s="25"/>
    </row>
    <row r="94" spans="1:14" x14ac:dyDescent="0.25">
      <c r="A94" s="25"/>
      <c r="B94" s="25"/>
      <c r="C94" s="25"/>
      <c r="D94" s="25"/>
      <c r="E94" s="25"/>
      <c r="F94" s="25"/>
      <c r="G94" s="25"/>
      <c r="H94" s="25"/>
      <c r="I94" s="25"/>
      <c r="J94" s="25"/>
      <c r="K94" s="25"/>
      <c r="L94" s="25"/>
    </row>
    <row r="95" spans="1:14" x14ac:dyDescent="0.25">
      <c r="A95" s="25"/>
      <c r="B95" s="25"/>
      <c r="C95" s="25"/>
      <c r="D95" s="25"/>
      <c r="E95" s="25"/>
      <c r="F95" s="25"/>
      <c r="G95" s="25"/>
      <c r="H95" s="25"/>
      <c r="I95" s="25"/>
      <c r="J95" s="25"/>
      <c r="K95" s="25"/>
      <c r="L95" s="25"/>
    </row>
    <row r="96" spans="1:14" x14ac:dyDescent="0.25">
      <c r="A96" s="25"/>
      <c r="B96" s="25"/>
      <c r="C96" s="25"/>
      <c r="D96" s="25"/>
      <c r="E96" s="25"/>
      <c r="F96" s="25"/>
      <c r="G96" s="25"/>
      <c r="H96" s="25"/>
      <c r="I96" s="25"/>
      <c r="J96" s="25"/>
      <c r="K96" s="25"/>
      <c r="L96" s="25"/>
    </row>
    <row r="97" spans="1:18" x14ac:dyDescent="0.25">
      <c r="A97" s="25"/>
      <c r="B97" s="25"/>
      <c r="C97" s="25"/>
      <c r="D97" s="25"/>
      <c r="E97" s="25"/>
      <c r="F97" s="25"/>
      <c r="G97" s="25"/>
      <c r="H97" s="25"/>
      <c r="I97" s="25"/>
      <c r="J97" s="25"/>
      <c r="K97" s="25"/>
      <c r="L97" s="25"/>
    </row>
    <row r="98" spans="1:18" x14ac:dyDescent="0.25">
      <c r="A98" s="25"/>
      <c r="B98" s="25"/>
      <c r="C98" s="25"/>
      <c r="D98" s="25"/>
      <c r="E98" s="25"/>
      <c r="F98" s="25"/>
      <c r="G98" s="25"/>
      <c r="H98" s="25"/>
      <c r="I98" s="25"/>
      <c r="J98" s="25"/>
      <c r="K98" s="25"/>
      <c r="L98" s="25"/>
    </row>
    <row r="99" spans="1:18" x14ac:dyDescent="0.25">
      <c r="A99" s="25"/>
      <c r="B99" s="25"/>
      <c r="C99" s="25"/>
      <c r="D99" s="25"/>
      <c r="E99" s="25"/>
      <c r="F99" s="25"/>
      <c r="G99" s="25"/>
      <c r="H99" s="25"/>
      <c r="I99" s="25"/>
      <c r="J99" s="25"/>
      <c r="K99" s="25"/>
      <c r="L99" s="25"/>
    </row>
    <row r="100" spans="1:18" x14ac:dyDescent="0.25">
      <c r="A100" s="25"/>
      <c r="B100" s="25"/>
      <c r="C100" s="25"/>
      <c r="D100" s="25"/>
      <c r="E100" s="25"/>
      <c r="F100" s="25"/>
      <c r="G100" s="25"/>
      <c r="H100" s="25"/>
      <c r="I100" s="25"/>
      <c r="J100" s="25"/>
      <c r="K100" s="25"/>
      <c r="L100" s="25"/>
    </row>
    <row r="101" spans="1:18" x14ac:dyDescent="0.25">
      <c r="A101" s="25"/>
      <c r="B101" s="25"/>
      <c r="C101" s="25"/>
      <c r="D101" s="25"/>
      <c r="E101" s="25"/>
      <c r="F101" s="25"/>
      <c r="G101" s="25"/>
      <c r="H101" s="25"/>
      <c r="I101" s="25"/>
      <c r="J101" s="25"/>
      <c r="K101" s="25"/>
      <c r="L101" s="25"/>
    </row>
    <row r="102" spans="1:18" x14ac:dyDescent="0.25">
      <c r="A102" s="25"/>
      <c r="B102" s="25"/>
      <c r="C102" s="25"/>
      <c r="D102" s="25"/>
      <c r="E102" s="25"/>
      <c r="F102" s="25"/>
      <c r="G102" s="25"/>
      <c r="H102" s="25"/>
      <c r="I102" s="25"/>
      <c r="J102" s="25"/>
      <c r="K102" s="25"/>
      <c r="L102" s="25"/>
    </row>
    <row r="103" spans="1:18" x14ac:dyDescent="0.25">
      <c r="A103" s="25"/>
      <c r="B103" s="25"/>
      <c r="C103" s="25"/>
      <c r="D103" s="25"/>
      <c r="E103" s="25"/>
      <c r="F103" s="25"/>
      <c r="G103" s="25"/>
      <c r="H103" s="25"/>
      <c r="I103" s="25"/>
      <c r="J103" s="25"/>
      <c r="K103" s="25"/>
      <c r="L103" s="25"/>
    </row>
    <row r="104" spans="1:18" ht="15.75" x14ac:dyDescent="0.25">
      <c r="A104" s="28"/>
      <c r="B104" s="28"/>
      <c r="C104" s="28"/>
      <c r="D104" s="28"/>
      <c r="E104" s="28"/>
      <c r="F104" s="28"/>
      <c r="G104" s="28"/>
      <c r="H104" s="28"/>
      <c r="I104" s="28"/>
      <c r="J104" s="28"/>
      <c r="K104" s="28"/>
      <c r="L104" s="28"/>
      <c r="M104" s="30"/>
      <c r="N104" s="30"/>
      <c r="O104" s="30"/>
      <c r="P104" s="30"/>
      <c r="Q104" s="30"/>
      <c r="R104" s="30"/>
    </row>
    <row r="105" spans="1:18" ht="15.75" x14ac:dyDescent="0.25">
      <c r="A105" s="28" t="s">
        <v>85</v>
      </c>
      <c r="B105" s="28"/>
      <c r="C105" s="28"/>
      <c r="D105" s="28"/>
      <c r="E105" s="28"/>
      <c r="F105" s="28"/>
      <c r="G105" s="28"/>
      <c r="H105" s="28"/>
      <c r="I105" s="28"/>
      <c r="J105" s="28"/>
      <c r="K105" s="28"/>
      <c r="L105" s="28"/>
      <c r="M105" s="30"/>
      <c r="N105" s="30"/>
      <c r="O105" s="30"/>
      <c r="P105" s="30"/>
      <c r="Q105" s="30"/>
      <c r="R105" s="30"/>
    </row>
    <row r="106" spans="1:18" ht="15.75" x14ac:dyDescent="0.25">
      <c r="A106" s="28"/>
      <c r="C106" s="52" t="s">
        <v>31</v>
      </c>
      <c r="D106" s="52" t="s">
        <v>87</v>
      </c>
      <c r="E106" s="52" t="s">
        <v>96</v>
      </c>
      <c r="H106" s="28"/>
      <c r="I106" s="28"/>
      <c r="J106" s="28"/>
      <c r="K106" s="28"/>
      <c r="L106" s="28"/>
      <c r="M106" s="30"/>
      <c r="N106" s="30"/>
      <c r="O106" s="30"/>
      <c r="P106" s="30"/>
      <c r="Q106" s="30"/>
      <c r="R106" s="30"/>
    </row>
    <row r="107" spans="1:18" ht="15.75" x14ac:dyDescent="0.25">
      <c r="A107" s="620" t="s">
        <v>88</v>
      </c>
      <c r="B107" s="621"/>
      <c r="C107" s="47">
        <f>IF(B9&lt;50,IF(J33&gt;C33,C33,J33),0)</f>
        <v>0</v>
      </c>
      <c r="D107" s="55">
        <f>'TABLE DES TAUX 2026'!D26</f>
        <v>1E-3</v>
      </c>
      <c r="E107" s="47">
        <f>ROUND(C107*D107,2)</f>
        <v>0</v>
      </c>
      <c r="H107" s="28"/>
      <c r="I107" s="28"/>
      <c r="J107" s="28"/>
      <c r="K107" s="28"/>
      <c r="L107" s="28"/>
      <c r="M107" s="30"/>
      <c r="N107" s="30"/>
      <c r="O107" s="30"/>
      <c r="P107" s="30"/>
      <c r="Q107" s="30"/>
      <c r="R107" s="30"/>
    </row>
    <row r="108" spans="1:18" ht="15.75" x14ac:dyDescent="0.25">
      <c r="A108" s="620" t="s">
        <v>89</v>
      </c>
      <c r="B108" s="621"/>
      <c r="C108" s="47">
        <f>IF(B9&gt;=50,J33,0)</f>
        <v>3200</v>
      </c>
      <c r="D108" s="55">
        <f>+'TABLE DES TAUX 2026'!D27</f>
        <v>5.0000000000000001E-3</v>
      </c>
      <c r="E108" s="47">
        <f>ROUND(C108*D108,2)</f>
        <v>16</v>
      </c>
      <c r="H108" s="28"/>
      <c r="I108" s="28"/>
      <c r="J108" s="28"/>
      <c r="K108" s="28"/>
      <c r="L108" s="28"/>
      <c r="M108" s="30"/>
      <c r="N108" s="30"/>
      <c r="O108" s="30"/>
      <c r="P108" s="30"/>
      <c r="Q108" s="30"/>
      <c r="R108" s="30"/>
    </row>
    <row r="109" spans="1:18" ht="15.75" x14ac:dyDescent="0.25">
      <c r="A109" s="620" t="s">
        <v>270</v>
      </c>
      <c r="B109" s="621"/>
      <c r="C109" s="47">
        <f>IF(B9&gt;=11,J33,0)</f>
        <v>3200</v>
      </c>
      <c r="D109" s="55">
        <f>'MASQUE DE SAISIE '!H22</f>
        <v>3.2000000000000001E-2</v>
      </c>
      <c r="E109" s="47">
        <f t="shared" ref="E109:E117" si="4">ROUND(C109*D109,2)</f>
        <v>102.4</v>
      </c>
      <c r="H109" s="28"/>
      <c r="I109" s="28"/>
      <c r="J109" s="28"/>
      <c r="K109" s="28"/>
      <c r="L109" s="28"/>
      <c r="M109" s="30"/>
      <c r="N109" s="30"/>
      <c r="O109" s="30"/>
      <c r="P109" s="30"/>
      <c r="Q109" s="30"/>
      <c r="R109" s="30"/>
    </row>
    <row r="110" spans="1:18" ht="15.75" x14ac:dyDescent="0.25">
      <c r="A110" s="615" t="s">
        <v>70</v>
      </c>
      <c r="B110" s="616"/>
      <c r="C110" s="47">
        <f>J33</f>
        <v>3200</v>
      </c>
      <c r="D110" s="55">
        <f>'TABLE DES TAUX 2026'!D29</f>
        <v>3.0000000000000001E-3</v>
      </c>
      <c r="E110" s="47">
        <f t="shared" si="4"/>
        <v>9.6</v>
      </c>
      <c r="H110" s="28"/>
      <c r="I110" s="28"/>
      <c r="J110" s="28"/>
      <c r="K110" s="28"/>
      <c r="L110" s="28"/>
      <c r="M110" s="30"/>
      <c r="N110" s="30"/>
      <c r="O110" s="30"/>
      <c r="P110" s="30"/>
      <c r="Q110" s="30"/>
      <c r="R110" s="30"/>
    </row>
    <row r="111" spans="1:18" ht="15.75" x14ac:dyDescent="0.25">
      <c r="A111" s="620" t="s">
        <v>86</v>
      </c>
      <c r="B111" s="621"/>
      <c r="C111" s="47">
        <f>IF(B9&gt;=11, IF(I9=2,G38+G41+G42,G39+G40),0)</f>
        <v>128</v>
      </c>
      <c r="D111" s="55">
        <f>'TABLE DES TAUX 2026'!D30</f>
        <v>0.08</v>
      </c>
      <c r="E111" s="47">
        <f t="shared" si="4"/>
        <v>10.24</v>
      </c>
      <c r="H111" s="30"/>
      <c r="I111" s="30"/>
      <c r="J111" s="30"/>
      <c r="K111" s="30"/>
      <c r="L111" s="30"/>
      <c r="M111" s="30"/>
      <c r="N111" s="30"/>
      <c r="O111" s="30"/>
      <c r="P111" s="30"/>
      <c r="Q111" s="30"/>
      <c r="R111" s="30"/>
    </row>
    <row r="112" spans="1:18" ht="15.75" x14ac:dyDescent="0.25">
      <c r="A112" s="616" t="s">
        <v>218</v>
      </c>
      <c r="B112" s="622"/>
      <c r="C112" s="47">
        <f>G43</f>
        <v>0</v>
      </c>
      <c r="D112" s="55">
        <f>'TABLE DES TAUX 2026'!D31</f>
        <v>0.2</v>
      </c>
      <c r="E112" s="47">
        <f t="shared" si="4"/>
        <v>0</v>
      </c>
      <c r="H112" s="30"/>
      <c r="I112" s="30"/>
      <c r="J112" s="30"/>
      <c r="K112" s="30"/>
      <c r="L112" s="30"/>
      <c r="M112" s="30"/>
      <c r="N112" s="30"/>
      <c r="O112" s="30"/>
      <c r="P112" s="30"/>
      <c r="Q112" s="30"/>
      <c r="R112" s="30"/>
    </row>
    <row r="113" spans="1:18" ht="16.5" customHeight="1" x14ac:dyDescent="0.25">
      <c r="A113" s="615" t="s">
        <v>71</v>
      </c>
      <c r="B113" s="616"/>
      <c r="C113" s="47">
        <f>+J33</f>
        <v>3200</v>
      </c>
      <c r="D113" s="55">
        <f>'TABLE DES TAUX 2026'!D32</f>
        <v>1.6000000000000001E-4</v>
      </c>
      <c r="E113" s="47">
        <f t="shared" si="4"/>
        <v>0.51</v>
      </c>
      <c r="H113" s="30"/>
      <c r="I113" s="30"/>
      <c r="J113" s="30"/>
      <c r="K113" s="30"/>
      <c r="L113" s="30"/>
      <c r="M113" s="30"/>
      <c r="N113" s="30"/>
      <c r="O113" s="30"/>
      <c r="P113" s="30"/>
      <c r="Q113" s="30"/>
      <c r="R113" s="30"/>
    </row>
    <row r="114" spans="1:18" ht="15.75" x14ac:dyDescent="0.25">
      <c r="A114" s="615" t="s">
        <v>76</v>
      </c>
      <c r="B114" s="616"/>
      <c r="C114" s="47">
        <f>C113</f>
        <v>3200</v>
      </c>
      <c r="D114" s="55">
        <f>'TABLE DES TAUX 2026'!D33</f>
        <v>6.7999999999999996E-3</v>
      </c>
      <c r="E114" s="47">
        <f t="shared" si="4"/>
        <v>21.76</v>
      </c>
      <c r="H114" s="30"/>
      <c r="I114" s="30"/>
      <c r="J114" s="30"/>
      <c r="K114" s="30"/>
      <c r="L114" s="30"/>
      <c r="M114" s="30"/>
      <c r="N114" s="30"/>
      <c r="O114" s="30"/>
      <c r="P114" s="30"/>
      <c r="Q114" s="30"/>
      <c r="R114" s="30"/>
    </row>
    <row r="115" spans="1:18" ht="15.75" x14ac:dyDescent="0.25">
      <c r="A115" s="615" t="s">
        <v>77</v>
      </c>
      <c r="B115" s="616"/>
      <c r="C115" s="47">
        <f>IF(B9&lt;11,0,J33)</f>
        <v>3200</v>
      </c>
      <c r="D115" s="55">
        <f>'TABLE DES TAUX 2026'!D34</f>
        <v>0.01</v>
      </c>
      <c r="E115" s="47">
        <f t="shared" si="4"/>
        <v>32</v>
      </c>
      <c r="H115" s="30"/>
      <c r="I115" s="30"/>
      <c r="J115" s="30"/>
      <c r="K115" s="30"/>
      <c r="L115" s="30"/>
      <c r="M115" s="30"/>
      <c r="N115" s="30"/>
      <c r="O115" s="30"/>
      <c r="P115" s="30"/>
      <c r="Q115" s="30"/>
      <c r="R115" s="30"/>
    </row>
    <row r="116" spans="1:18" ht="15.75" x14ac:dyDescent="0.25">
      <c r="A116" s="615" t="s">
        <v>77</v>
      </c>
      <c r="B116" s="616"/>
      <c r="C116" s="47">
        <f>IF(B9&gt;=11,0,J33)</f>
        <v>0</v>
      </c>
      <c r="D116" s="55">
        <f>'TABLE DES TAUX 2026'!D35</f>
        <v>5.4999999999999997E-3</v>
      </c>
      <c r="E116" s="47">
        <f t="shared" si="4"/>
        <v>0</v>
      </c>
      <c r="H116" s="30"/>
      <c r="I116" s="30"/>
      <c r="J116" s="30"/>
      <c r="K116" s="30"/>
      <c r="L116" s="30"/>
      <c r="M116" s="30"/>
      <c r="N116" s="30"/>
      <c r="O116" s="30"/>
      <c r="P116" s="30"/>
      <c r="Q116" s="30"/>
      <c r="R116" s="30"/>
    </row>
    <row r="117" spans="1:18" ht="15.75" x14ac:dyDescent="0.25">
      <c r="A117" s="615" t="s">
        <v>79</v>
      </c>
      <c r="B117" s="616"/>
      <c r="C117" s="47">
        <f>IF(B9&lt;50,0,J33)</f>
        <v>3200</v>
      </c>
      <c r="D117" s="55">
        <f>'TABLE DES TAUX 2026'!D36</f>
        <v>4.4999999999999997E-3</v>
      </c>
      <c r="E117" s="47">
        <f t="shared" si="4"/>
        <v>14.4</v>
      </c>
      <c r="H117" s="30"/>
      <c r="I117" s="30"/>
      <c r="J117" s="30"/>
      <c r="K117" s="30"/>
      <c r="L117" s="30"/>
      <c r="M117" s="30"/>
      <c r="N117" s="30"/>
      <c r="O117" s="30"/>
      <c r="P117" s="30"/>
      <c r="Q117" s="30"/>
      <c r="R117" s="30"/>
    </row>
    <row r="118" spans="1:18" ht="15.75" x14ac:dyDescent="0.25">
      <c r="A118" s="30"/>
      <c r="B118" s="30"/>
      <c r="D118" s="30"/>
      <c r="E118" s="71">
        <f>SUM(E107:E117)</f>
        <v>206.91</v>
      </c>
      <c r="F118" s="30"/>
      <c r="G118" s="30"/>
      <c r="H118" s="30"/>
      <c r="I118" s="30"/>
      <c r="J118" s="30"/>
      <c r="K118" s="30"/>
      <c r="L118" s="30"/>
      <c r="M118" s="30"/>
      <c r="N118" s="30"/>
      <c r="O118" s="30"/>
      <c r="P118" s="30"/>
      <c r="Q118" s="30"/>
      <c r="R118" s="30"/>
    </row>
    <row r="119" spans="1:18" ht="15.75" x14ac:dyDescent="0.25">
      <c r="A119" s="30"/>
      <c r="B119" s="30"/>
      <c r="C119" s="30"/>
      <c r="D119" s="30"/>
      <c r="E119" s="30"/>
      <c r="F119" s="30"/>
      <c r="G119" s="30"/>
      <c r="H119" s="30"/>
      <c r="I119" s="30"/>
      <c r="J119" s="30"/>
      <c r="K119" s="30"/>
      <c r="L119" s="30"/>
      <c r="M119" s="30"/>
      <c r="N119" s="30"/>
      <c r="O119" s="30"/>
      <c r="P119" s="30"/>
      <c r="Q119" s="30"/>
      <c r="R119" s="30"/>
    </row>
    <row r="120" spans="1:18" ht="16.5" x14ac:dyDescent="0.3">
      <c r="A120" s="27"/>
      <c r="B120" s="27"/>
      <c r="C120" s="27"/>
      <c r="D120" s="27"/>
      <c r="E120" s="27"/>
      <c r="F120" s="27"/>
      <c r="G120" s="27"/>
      <c r="H120" s="30"/>
      <c r="I120" s="30"/>
      <c r="J120" s="30"/>
      <c r="K120" s="30"/>
      <c r="L120" s="30"/>
      <c r="M120" s="30"/>
      <c r="N120" s="30"/>
      <c r="O120" s="30"/>
      <c r="P120" s="30"/>
      <c r="Q120" s="30"/>
      <c r="R120" s="30"/>
    </row>
    <row r="121" spans="1:18" ht="24.75" customHeight="1" x14ac:dyDescent="0.3">
      <c r="A121" s="27"/>
      <c r="B121" s="27"/>
      <c r="C121" s="27"/>
      <c r="D121" s="27"/>
      <c r="E121" s="27"/>
      <c r="F121" s="27"/>
      <c r="G121" s="27"/>
      <c r="H121" s="30"/>
      <c r="I121" s="30"/>
      <c r="J121" s="30"/>
      <c r="K121" s="30"/>
      <c r="L121" s="30"/>
      <c r="M121" s="30"/>
      <c r="N121" s="30"/>
      <c r="O121" s="30"/>
      <c r="P121" s="30"/>
      <c r="Q121" s="30"/>
      <c r="R121" s="30"/>
    </row>
    <row r="122" spans="1:18" ht="36" customHeight="1" x14ac:dyDescent="0.3">
      <c r="A122" s="617" t="s">
        <v>91</v>
      </c>
      <c r="B122" s="617"/>
      <c r="C122" s="49">
        <v>7.4999999999999997E-3</v>
      </c>
      <c r="D122" s="50">
        <f>C36*C122</f>
        <v>24</v>
      </c>
      <c r="E122" s="27"/>
      <c r="F122" s="27"/>
      <c r="G122" s="27"/>
      <c r="H122" s="30"/>
      <c r="I122" s="30"/>
      <c r="J122" s="30"/>
      <c r="K122" s="30"/>
      <c r="L122" s="30"/>
      <c r="M122" s="30"/>
      <c r="N122" s="30"/>
      <c r="O122" s="30"/>
      <c r="P122" s="30"/>
      <c r="Q122" s="30"/>
      <c r="R122" s="30"/>
    </row>
    <row r="123" spans="1:18" ht="35.25" customHeight="1" x14ac:dyDescent="0.3">
      <c r="A123" s="613" t="s">
        <v>92</v>
      </c>
      <c r="B123" s="613"/>
      <c r="C123" s="49">
        <v>2.4E-2</v>
      </c>
      <c r="D123" s="50">
        <f>C61*C123</f>
        <v>76.8</v>
      </c>
      <c r="E123" s="27"/>
      <c r="F123" s="27"/>
      <c r="G123" s="27"/>
      <c r="H123" s="30"/>
      <c r="I123" s="30"/>
      <c r="J123" s="30"/>
      <c r="K123" s="30"/>
      <c r="L123" s="30"/>
      <c r="M123" s="30"/>
      <c r="N123" s="30"/>
      <c r="O123" s="30"/>
      <c r="P123" s="30"/>
      <c r="Q123" s="30"/>
      <c r="R123" s="30"/>
    </row>
    <row r="124" spans="1:18" ht="22.5" hidden="1" customHeight="1" x14ac:dyDescent="0.3">
      <c r="A124" s="27"/>
      <c r="B124" s="27"/>
      <c r="C124" s="27"/>
      <c r="D124" s="27"/>
      <c r="E124" s="27"/>
      <c r="F124" s="27"/>
      <c r="G124" s="27"/>
      <c r="H124" s="30"/>
      <c r="I124" s="30"/>
      <c r="J124" s="30"/>
      <c r="K124" s="30"/>
      <c r="L124" s="30"/>
      <c r="M124" s="30"/>
      <c r="N124" s="30"/>
      <c r="O124" s="30"/>
      <c r="P124" s="30"/>
      <c r="Q124" s="30"/>
      <c r="R124" s="30"/>
    </row>
    <row r="125" spans="1:18" ht="22.5" customHeight="1" x14ac:dyDescent="0.3">
      <c r="A125" s="618" t="s">
        <v>112</v>
      </c>
      <c r="B125" s="618"/>
      <c r="C125" s="618"/>
      <c r="D125" s="619"/>
      <c r="E125" s="72" t="s">
        <v>94</v>
      </c>
      <c r="F125" s="73">
        <f>D122+D123-D127</f>
        <v>45.175999999999995</v>
      </c>
      <c r="G125" s="27"/>
      <c r="H125" s="30"/>
      <c r="I125" s="30"/>
      <c r="J125" s="30"/>
      <c r="K125" s="30"/>
      <c r="L125" s="30"/>
      <c r="M125" s="30"/>
      <c r="N125" s="30"/>
      <c r="O125" s="30"/>
      <c r="P125" s="30"/>
      <c r="Q125" s="30"/>
      <c r="R125" s="30"/>
    </row>
    <row r="126" spans="1:18" ht="0.75" customHeight="1" x14ac:dyDescent="0.3">
      <c r="A126" s="27"/>
      <c r="B126" s="27"/>
      <c r="C126" s="27"/>
      <c r="D126" s="27"/>
      <c r="E126" s="27"/>
      <c r="F126" s="27"/>
      <c r="G126" s="27"/>
      <c r="H126" s="30"/>
      <c r="I126" s="30"/>
      <c r="J126" s="30"/>
      <c r="K126" s="30"/>
      <c r="L126" s="30"/>
      <c r="M126" s="30"/>
      <c r="N126" s="30"/>
      <c r="O126" s="30"/>
      <c r="P126" s="30"/>
      <c r="Q126" s="30"/>
      <c r="R126" s="30"/>
    </row>
    <row r="127" spans="1:18" ht="36" customHeight="1" x14ac:dyDescent="0.3">
      <c r="A127" s="613" t="s">
        <v>93</v>
      </c>
      <c r="B127" s="613"/>
      <c r="C127" s="49">
        <v>1.7000000000000001E-2</v>
      </c>
      <c r="D127" s="50">
        <f>(C66+C70)*C127</f>
        <v>55.624000000000002</v>
      </c>
      <c r="E127" s="27"/>
      <c r="F127" s="27"/>
      <c r="G127" s="27"/>
      <c r="H127" s="30"/>
      <c r="I127" s="30"/>
      <c r="J127" s="30"/>
      <c r="K127" s="30"/>
      <c r="L127" s="30"/>
      <c r="M127" s="30"/>
      <c r="N127" s="30"/>
      <c r="O127" s="30"/>
      <c r="P127" s="30"/>
      <c r="Q127" s="30"/>
      <c r="R127" s="30"/>
    </row>
    <row r="128" spans="1:18" ht="16.5" x14ac:dyDescent="0.3">
      <c r="A128" s="27"/>
      <c r="B128" s="27"/>
      <c r="C128" s="27"/>
      <c r="D128" s="27"/>
      <c r="E128" s="27"/>
      <c r="F128" s="27"/>
      <c r="G128" s="27"/>
      <c r="H128" s="30"/>
      <c r="I128" s="30"/>
      <c r="J128" s="30"/>
      <c r="K128" s="30"/>
      <c r="L128" s="30"/>
      <c r="M128" s="30"/>
      <c r="N128" s="30"/>
      <c r="O128" s="30"/>
      <c r="P128" s="30"/>
      <c r="Q128" s="30"/>
      <c r="R128" s="30"/>
    </row>
    <row r="129" spans="1:18" ht="15.75" x14ac:dyDescent="0.25">
      <c r="A129" s="30"/>
      <c r="B129" s="30"/>
      <c r="C129" s="30"/>
      <c r="D129" s="30"/>
      <c r="E129" s="30"/>
      <c r="F129" s="30"/>
      <c r="G129" s="30"/>
      <c r="H129" s="30"/>
      <c r="I129" s="30"/>
      <c r="J129" s="30"/>
      <c r="K129" s="30"/>
      <c r="L129" s="30"/>
      <c r="M129" s="30"/>
      <c r="N129" s="30"/>
      <c r="O129" s="30"/>
      <c r="P129" s="30"/>
      <c r="Q129" s="30"/>
      <c r="R129" s="30"/>
    </row>
    <row r="130" spans="1:18" ht="15.75" x14ac:dyDescent="0.25">
      <c r="A130" s="30"/>
      <c r="B130" s="30"/>
      <c r="C130" s="30"/>
      <c r="D130" s="30"/>
      <c r="E130" s="30"/>
      <c r="F130" s="30"/>
      <c r="G130" s="30"/>
      <c r="H130" s="30"/>
      <c r="I130" s="30"/>
      <c r="J130" s="30"/>
      <c r="K130" s="30"/>
      <c r="L130" s="30"/>
      <c r="M130" s="30"/>
      <c r="N130" s="30"/>
      <c r="O130" s="30"/>
      <c r="P130" s="30"/>
      <c r="Q130" s="30"/>
      <c r="R130" s="30"/>
    </row>
    <row r="131" spans="1:18" ht="15.75" x14ac:dyDescent="0.25">
      <c r="A131" s="30"/>
      <c r="B131" s="30"/>
      <c r="C131" s="30"/>
      <c r="D131" s="30"/>
      <c r="E131" s="30"/>
      <c r="F131" s="30"/>
      <c r="G131" s="30"/>
      <c r="H131" s="30"/>
      <c r="I131" s="30"/>
      <c r="J131" s="30"/>
      <c r="K131" s="30"/>
      <c r="L131" s="30"/>
      <c r="M131" s="30"/>
      <c r="N131" s="30"/>
      <c r="O131" s="30"/>
      <c r="P131" s="30"/>
      <c r="Q131" s="30"/>
      <c r="R131" s="30"/>
    </row>
    <row r="132" spans="1:18" ht="15.75" x14ac:dyDescent="0.25">
      <c r="A132" s="30"/>
      <c r="B132" s="30"/>
      <c r="C132" s="30"/>
      <c r="D132" s="30"/>
      <c r="E132" s="30"/>
      <c r="F132" s="30"/>
      <c r="G132" s="30"/>
      <c r="H132" s="30"/>
      <c r="I132" s="30"/>
      <c r="J132" s="30"/>
      <c r="K132" s="30"/>
      <c r="L132" s="30"/>
      <c r="M132" s="30"/>
      <c r="N132" s="30"/>
      <c r="O132" s="30"/>
      <c r="P132" s="30"/>
      <c r="Q132" s="30"/>
      <c r="R132" s="30"/>
    </row>
    <row r="133" spans="1:18" ht="15.75" x14ac:dyDescent="0.25">
      <c r="A133" s="30"/>
      <c r="B133" s="30"/>
      <c r="C133" s="30"/>
      <c r="D133" s="30"/>
      <c r="E133" s="30"/>
      <c r="F133" s="30"/>
      <c r="G133" s="30"/>
      <c r="H133" s="30"/>
      <c r="I133" s="30"/>
      <c r="J133" s="30"/>
      <c r="K133" s="30"/>
      <c r="L133" s="30"/>
      <c r="M133" s="30"/>
      <c r="N133" s="30"/>
      <c r="O133" s="30"/>
      <c r="P133" s="30"/>
      <c r="Q133" s="30"/>
      <c r="R133" s="30"/>
    </row>
    <row r="134" spans="1:18" ht="15.75" x14ac:dyDescent="0.25">
      <c r="A134" s="30"/>
      <c r="B134" s="30"/>
      <c r="C134" s="30"/>
      <c r="D134" s="30"/>
      <c r="E134" s="30"/>
      <c r="F134" s="30"/>
      <c r="G134" s="30"/>
      <c r="H134" s="30"/>
      <c r="I134" s="30"/>
      <c r="J134" s="30"/>
      <c r="K134" s="30"/>
      <c r="L134" s="30"/>
      <c r="M134" s="30"/>
      <c r="N134" s="30"/>
      <c r="O134" s="30"/>
      <c r="P134" s="30"/>
      <c r="Q134" s="30"/>
      <c r="R134" s="30"/>
    </row>
    <row r="135" spans="1:18" ht="15.75" x14ac:dyDescent="0.25">
      <c r="A135" s="30"/>
      <c r="B135" s="30"/>
      <c r="C135" s="30"/>
      <c r="D135" s="30"/>
      <c r="E135" s="30"/>
      <c r="F135" s="30"/>
      <c r="G135" s="30"/>
      <c r="H135" s="30"/>
      <c r="I135" s="30"/>
      <c r="J135" s="30"/>
      <c r="K135" s="30"/>
      <c r="L135" s="30"/>
      <c r="M135" s="30"/>
      <c r="N135" s="30"/>
      <c r="O135" s="30"/>
      <c r="P135" s="30"/>
      <c r="Q135" s="30"/>
      <c r="R135" s="30"/>
    </row>
    <row r="136" spans="1:18" ht="15.75" x14ac:dyDescent="0.25">
      <c r="A136" s="30"/>
      <c r="B136" s="30"/>
      <c r="C136" s="30"/>
      <c r="D136" s="30"/>
      <c r="E136" s="30"/>
      <c r="F136" s="30"/>
      <c r="G136" s="30"/>
      <c r="H136" s="30"/>
      <c r="I136" s="30"/>
      <c r="J136" s="30"/>
      <c r="K136" s="30"/>
      <c r="L136" s="30"/>
      <c r="M136" s="30"/>
      <c r="N136" s="30"/>
      <c r="O136" s="30"/>
      <c r="P136" s="30"/>
      <c r="Q136" s="30"/>
      <c r="R136" s="30"/>
    </row>
    <row r="137" spans="1:18" ht="15.75" x14ac:dyDescent="0.25">
      <c r="A137" s="30"/>
      <c r="B137" s="30"/>
      <c r="C137" s="30"/>
      <c r="D137" s="30"/>
      <c r="E137" s="30"/>
      <c r="F137" s="30"/>
      <c r="G137" s="30"/>
      <c r="H137" s="30"/>
      <c r="I137" s="30"/>
      <c r="J137" s="30"/>
      <c r="K137" s="30"/>
      <c r="L137" s="30"/>
      <c r="M137" s="30"/>
      <c r="N137" s="30"/>
      <c r="O137" s="30"/>
      <c r="P137" s="30"/>
      <c r="Q137" s="30"/>
      <c r="R137" s="30"/>
    </row>
    <row r="138" spans="1:18" ht="15.75" x14ac:dyDescent="0.25">
      <c r="A138" s="30"/>
      <c r="B138" s="30"/>
      <c r="C138" s="30"/>
      <c r="D138" s="30"/>
      <c r="E138" s="30"/>
      <c r="F138" s="30"/>
      <c r="G138" s="30"/>
      <c r="H138" s="30"/>
      <c r="I138" s="30"/>
      <c r="J138" s="30"/>
      <c r="K138" s="30"/>
      <c r="L138" s="30"/>
      <c r="M138" s="30"/>
      <c r="N138" s="30"/>
      <c r="O138" s="30"/>
      <c r="P138" s="30"/>
      <c r="Q138" s="30"/>
      <c r="R138" s="30"/>
    </row>
    <row r="139" spans="1:18" ht="15.75" x14ac:dyDescent="0.25">
      <c r="A139" s="30"/>
      <c r="B139" s="30"/>
      <c r="C139" s="30"/>
      <c r="D139" s="30"/>
      <c r="E139" s="30"/>
      <c r="F139" s="30"/>
      <c r="G139" s="30"/>
      <c r="H139" s="30"/>
      <c r="I139" s="30"/>
      <c r="J139" s="30"/>
      <c r="K139" s="30"/>
      <c r="L139" s="30"/>
      <c r="M139" s="30"/>
      <c r="N139" s="30"/>
      <c r="O139" s="30"/>
      <c r="P139" s="30"/>
      <c r="Q139" s="30"/>
      <c r="R139" s="30"/>
    </row>
    <row r="140" spans="1:18" ht="15.75" x14ac:dyDescent="0.25">
      <c r="A140" s="30"/>
      <c r="B140" s="30"/>
      <c r="C140" s="30"/>
      <c r="D140" s="30"/>
      <c r="E140" s="30"/>
      <c r="F140" s="30"/>
      <c r="G140" s="30"/>
      <c r="H140" s="30"/>
      <c r="I140" s="30"/>
      <c r="J140" s="30"/>
      <c r="K140" s="30"/>
      <c r="L140" s="30"/>
      <c r="M140" s="30"/>
      <c r="N140" s="30"/>
      <c r="O140" s="30"/>
      <c r="P140" s="30"/>
      <c r="Q140" s="30"/>
      <c r="R140" s="30"/>
    </row>
    <row r="142" spans="1:18" ht="28.5" customHeight="1" x14ac:dyDescent="0.25">
      <c r="A142" s="614"/>
      <c r="B142" s="614"/>
      <c r="C142" s="614"/>
      <c r="D142" s="614"/>
      <c r="E142" s="614"/>
      <c r="F142" s="614"/>
      <c r="G142" s="614"/>
      <c r="H142" s="614"/>
      <c r="I142" s="614"/>
      <c r="J142" s="614"/>
    </row>
    <row r="199" ht="1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sheetData>
  <mergeCells count="136">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I54:J54"/>
    <mergeCell ref="A47:B47"/>
    <mergeCell ref="L47:L48"/>
    <mergeCell ref="A48:B48"/>
    <mergeCell ref="A49:B49"/>
    <mergeCell ref="I49:J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7:I77"/>
    <mergeCell ref="J77:L77"/>
    <mergeCell ref="A78:I80"/>
    <mergeCell ref="J78:L80"/>
    <mergeCell ref="A81:C82"/>
    <mergeCell ref="D81:E81"/>
    <mergeCell ref="F81:G81"/>
    <mergeCell ref="D82:E82"/>
    <mergeCell ref="F82:G82"/>
    <mergeCell ref="A107:B107"/>
    <mergeCell ref="A108:B108"/>
    <mergeCell ref="A91:E91"/>
    <mergeCell ref="A85:I85"/>
    <mergeCell ref="J85:L85"/>
    <mergeCell ref="A83:I83"/>
    <mergeCell ref="J83:L83"/>
    <mergeCell ref="A84:I84"/>
    <mergeCell ref="J84:L84"/>
    <mergeCell ref="D86:E86"/>
    <mergeCell ref="F86:G86"/>
    <mergeCell ref="A127:B127"/>
    <mergeCell ref="A142:J142"/>
    <mergeCell ref="A115:B115"/>
    <mergeCell ref="A116:B116"/>
    <mergeCell ref="A117:B117"/>
    <mergeCell ref="A122:B122"/>
    <mergeCell ref="A123:B123"/>
    <mergeCell ref="A125:D125"/>
    <mergeCell ref="A109:B109"/>
    <mergeCell ref="A110:B110"/>
    <mergeCell ref="A111:B111"/>
    <mergeCell ref="A112:B112"/>
    <mergeCell ref="A113:B113"/>
    <mergeCell ref="A114:B114"/>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15748031496062992" bottom="0.15748031496062992" header="0.31496062992125984" footer="0.31496062992125984"/>
  <pageSetup paperSize="9" scale="7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24AA0-D1C6-4429-9ED6-6E56C42BAEC6}">
  <dimension ref="A18:H48"/>
  <sheetViews>
    <sheetView tabSelected="1" topLeftCell="A41" workbookViewId="0">
      <selection activeCell="C45" sqref="C45"/>
    </sheetView>
  </sheetViews>
  <sheetFormatPr baseColWidth="10" defaultRowHeight="15" x14ac:dyDescent="0.25"/>
  <cols>
    <col min="2" max="2" width="26.5703125" customWidth="1"/>
  </cols>
  <sheetData>
    <row r="18" spans="2:8" s="191" customFormat="1" ht="30" customHeight="1" x14ac:dyDescent="0.25">
      <c r="B18" s="702" t="s">
        <v>459</v>
      </c>
      <c r="C18" s="702"/>
      <c r="D18" s="702"/>
      <c r="E18" s="702"/>
      <c r="F18" s="220"/>
      <c r="G18" s="220"/>
      <c r="H18" s="220"/>
    </row>
    <row r="19" spans="2:8" s="191" customFormat="1" ht="30" customHeight="1" x14ac:dyDescent="0.25">
      <c r="B19" s="698" t="s">
        <v>460</v>
      </c>
      <c r="C19" s="698"/>
      <c r="D19" s="698"/>
      <c r="E19" s="698"/>
      <c r="F19" s="220"/>
      <c r="G19" s="220"/>
      <c r="H19" s="220"/>
    </row>
    <row r="20" spans="2:8" s="191" customFormat="1" ht="30" customHeight="1" x14ac:dyDescent="0.25">
      <c r="B20" s="698" t="s">
        <v>461</v>
      </c>
      <c r="C20" s="698"/>
      <c r="D20" s="698"/>
      <c r="E20" s="524">
        <f>+'TABLE DES TAUX 2026'!C54</f>
        <v>12.02</v>
      </c>
      <c r="F20" s="220"/>
      <c r="G20" s="220"/>
      <c r="H20" s="220"/>
    </row>
    <row r="21" spans="2:8" s="191" customFormat="1" ht="30" customHeight="1" x14ac:dyDescent="0.25">
      <c r="B21" s="698" t="s">
        <v>284</v>
      </c>
      <c r="C21" s="698"/>
      <c r="D21" s="698"/>
      <c r="E21" s="525">
        <f>+'BP VERSION JANVIER 2023'!B9</f>
        <v>60</v>
      </c>
      <c r="F21" s="220"/>
      <c r="G21" s="220"/>
      <c r="H21" s="220"/>
    </row>
    <row r="22" spans="2:8" s="191" customFormat="1" ht="30" customHeight="1" x14ac:dyDescent="0.25">
      <c r="B22" s="698" t="s">
        <v>462</v>
      </c>
      <c r="C22" s="698"/>
      <c r="D22" s="698"/>
      <c r="E22" s="41">
        <f>'TABLE DES TAUX 2026'!C61</f>
        <v>0.37809999999999999</v>
      </c>
      <c r="F22" s="701" t="s">
        <v>463</v>
      </c>
      <c r="G22" s="699"/>
      <c r="H22" s="699"/>
    </row>
    <row r="23" spans="2:8" s="191" customFormat="1" ht="30" customHeight="1" x14ac:dyDescent="0.25">
      <c r="B23" s="698"/>
      <c r="C23" s="698"/>
      <c r="D23" s="698"/>
      <c r="E23" s="41">
        <f>'TABLE DES TAUX 2026'!D61</f>
        <v>0.3821</v>
      </c>
      <c r="F23" s="701" t="s">
        <v>464</v>
      </c>
      <c r="G23" s="699"/>
      <c r="H23" s="699"/>
    </row>
    <row r="24" spans="2:8" s="191" customFormat="1" ht="30" customHeight="1" x14ac:dyDescent="0.25">
      <c r="B24" s="698" t="s">
        <v>13</v>
      </c>
      <c r="C24" s="698"/>
      <c r="D24" s="698"/>
      <c r="E24" s="526">
        <f>+'BP VERSION JANVIER 2023'!B10</f>
        <v>151.66999999999999</v>
      </c>
      <c r="F24" s="220"/>
      <c r="G24" s="220"/>
      <c r="H24" s="220"/>
    </row>
    <row r="25" spans="2:8" s="191" customFormat="1" ht="30" customHeight="1" x14ac:dyDescent="0.25">
      <c r="B25" s="698" t="s">
        <v>465</v>
      </c>
      <c r="C25" s="698"/>
      <c r="D25" s="698"/>
      <c r="E25" s="527">
        <f>+'BP VERSION JANVIER 2023'!J33</f>
        <v>3200</v>
      </c>
      <c r="F25" s="220"/>
      <c r="G25" s="220"/>
      <c r="H25" s="220"/>
    </row>
    <row r="26" spans="2:8" s="191" customFormat="1" ht="15.75" x14ac:dyDescent="0.25"/>
    <row r="27" spans="2:8" s="191" customFormat="1" ht="15.75" x14ac:dyDescent="0.25"/>
    <row r="28" spans="2:8" s="191" customFormat="1" ht="15.75" x14ac:dyDescent="0.25"/>
    <row r="29" spans="2:8" s="191" customFormat="1" ht="15.75" x14ac:dyDescent="0.25"/>
    <row r="30" spans="2:8" s="191" customFormat="1" ht="15.75" x14ac:dyDescent="0.25"/>
    <row r="31" spans="2:8" s="191" customFormat="1" ht="15.75" x14ac:dyDescent="0.25"/>
    <row r="32" spans="2:8" s="191" customFormat="1" ht="15.75" x14ac:dyDescent="0.25"/>
    <row r="33" spans="1:7" s="191" customFormat="1" ht="15.75" x14ac:dyDescent="0.25"/>
    <row r="34" spans="1:7" s="191" customFormat="1" ht="15.75" x14ac:dyDescent="0.25"/>
    <row r="35" spans="1:7" s="220" customFormat="1" ht="33.75" customHeight="1" x14ac:dyDescent="0.25">
      <c r="A35" s="41" t="s">
        <v>286</v>
      </c>
      <c r="B35" s="41" t="s">
        <v>466</v>
      </c>
      <c r="C35" s="528">
        <v>0.02</v>
      </c>
    </row>
    <row r="36" spans="1:7" s="220" customFormat="1" ht="33.75" customHeight="1" x14ac:dyDescent="0.25">
      <c r="A36" s="41" t="s">
        <v>252</v>
      </c>
      <c r="B36" s="41" t="s">
        <v>467</v>
      </c>
      <c r="C36" s="41">
        <f>IF(E21&gt;=50,E23,E22)</f>
        <v>0.3821</v>
      </c>
      <c r="D36" s="698" t="s">
        <v>468</v>
      </c>
      <c r="E36" s="698"/>
      <c r="F36" s="698"/>
      <c r="G36" s="698"/>
    </row>
    <row r="37" spans="1:7" s="220" customFormat="1" ht="33.75" customHeight="1" x14ac:dyDescent="0.25">
      <c r="A37" s="41" t="s">
        <v>217</v>
      </c>
      <c r="B37" s="41" t="s">
        <v>469</v>
      </c>
      <c r="C37" s="41">
        <f>3*E20*E24</f>
        <v>5469.2201999999997</v>
      </c>
    </row>
    <row r="38" spans="1:7" s="220" customFormat="1" ht="33.75" customHeight="1" x14ac:dyDescent="0.25">
      <c r="A38" s="41" t="s">
        <v>253</v>
      </c>
      <c r="B38" s="41" t="s">
        <v>470</v>
      </c>
      <c r="C38" s="41">
        <f>E25</f>
        <v>3200</v>
      </c>
    </row>
    <row r="39" spans="1:7" s="220" customFormat="1" ht="33.75" customHeight="1" x14ac:dyDescent="0.25">
      <c r="A39" s="41" t="s">
        <v>471</v>
      </c>
      <c r="B39" s="41" t="s">
        <v>254</v>
      </c>
      <c r="C39" s="41">
        <f>C37/C38</f>
        <v>1.7091313124999998</v>
      </c>
    </row>
    <row r="40" spans="1:7" s="220" customFormat="1" ht="33.75" customHeight="1" x14ac:dyDescent="0.25">
      <c r="A40" s="41" t="s">
        <v>255</v>
      </c>
      <c r="B40" s="41" t="s">
        <v>472</v>
      </c>
      <c r="C40" s="41">
        <f>IF((C39-1)&lt;0,0,C39-1)</f>
        <v>0.70913131249999983</v>
      </c>
    </row>
    <row r="41" spans="1:7" s="220" customFormat="1" ht="33.75" customHeight="1" x14ac:dyDescent="0.25">
      <c r="A41" s="41" t="s">
        <v>473</v>
      </c>
      <c r="B41" s="41" t="s">
        <v>256</v>
      </c>
      <c r="C41" s="41">
        <f>C40/2</f>
        <v>0.35456565624999992</v>
      </c>
    </row>
    <row r="42" spans="1:7" s="220" customFormat="1" ht="33.75" customHeight="1" x14ac:dyDescent="0.25">
      <c r="A42" s="41" t="s">
        <v>282</v>
      </c>
      <c r="B42" s="41" t="s">
        <v>489</v>
      </c>
      <c r="C42" s="41">
        <f>POWER(C41,1.75)</f>
        <v>0.16291803641740157</v>
      </c>
    </row>
    <row r="43" spans="1:7" s="220" customFormat="1" ht="33.75" customHeight="1" x14ac:dyDescent="0.25">
      <c r="A43" s="41" t="s">
        <v>283</v>
      </c>
      <c r="B43" s="41" t="s">
        <v>490</v>
      </c>
      <c r="C43" s="41">
        <f>IF($E$21&lt;50,$E$22*C42,$E$23*C42)</f>
        <v>6.2250981715089138E-2</v>
      </c>
    </row>
    <row r="44" spans="1:7" s="220" customFormat="1" ht="33.75" customHeight="1" x14ac:dyDescent="0.25">
      <c r="A44" s="41" t="s">
        <v>474</v>
      </c>
      <c r="B44" s="41" t="s">
        <v>475</v>
      </c>
      <c r="C44" s="540">
        <f>ROUND(IF((C35+C43)=0.02,0,C35+C43),4)</f>
        <v>8.2299999999999998E-2</v>
      </c>
      <c r="D44" s="699"/>
      <c r="E44" s="699"/>
      <c r="F44" s="699"/>
      <c r="G44" s="699"/>
    </row>
    <row r="45" spans="1:7" s="220" customFormat="1" ht="33.75" customHeight="1" x14ac:dyDescent="0.25">
      <c r="A45" s="41" t="s">
        <v>476</v>
      </c>
      <c r="B45" s="41" t="s">
        <v>477</v>
      </c>
      <c r="C45" s="541">
        <f>ROUND((C44*E25),2)</f>
        <v>263.36</v>
      </c>
      <c r="D45" s="700" t="s">
        <v>478</v>
      </c>
      <c r="E45" s="700"/>
      <c r="F45" s="700"/>
      <c r="G45" s="700"/>
    </row>
    <row r="46" spans="1:7" s="191" customFormat="1" ht="15.75" x14ac:dyDescent="0.25"/>
    <row r="47" spans="1:7" s="30" customFormat="1" ht="15.75" x14ac:dyDescent="0.25"/>
    <row r="48" spans="1:7" s="30"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DB32E-82FF-4C6D-B4E3-A374A4FC4A0F}">
  <dimension ref="A2:L75"/>
  <sheetViews>
    <sheetView topLeftCell="A62" zoomScaleNormal="100" workbookViewId="0">
      <selection activeCell="D69" sqref="D69"/>
    </sheetView>
  </sheetViews>
  <sheetFormatPr baseColWidth="10" defaultColWidth="11.42578125" defaultRowHeight="15.75" x14ac:dyDescent="0.25"/>
  <cols>
    <col min="1" max="2" width="11.42578125" style="191"/>
    <col min="3" max="3" width="19.42578125" style="191" customWidth="1"/>
    <col min="4" max="16384" width="11.42578125" style="191"/>
  </cols>
  <sheetData>
    <row r="2" spans="2:7" x14ac:dyDescent="0.25">
      <c r="B2" s="191" t="s">
        <v>448</v>
      </c>
    </row>
    <row r="3" spans="2:7" x14ac:dyDescent="0.25">
      <c r="B3" s="191" t="s">
        <v>440</v>
      </c>
    </row>
    <row r="5" spans="2:7" x14ac:dyDescent="0.25">
      <c r="C5" s="191" t="s">
        <v>297</v>
      </c>
      <c r="E5" s="493" t="s">
        <v>485</v>
      </c>
    </row>
    <row r="6" spans="2:7" x14ac:dyDescent="0.25">
      <c r="E6" s="467"/>
    </row>
    <row r="7" spans="2:7" x14ac:dyDescent="0.25">
      <c r="C7" s="191" t="s">
        <v>411</v>
      </c>
      <c r="E7" s="493">
        <v>200</v>
      </c>
    </row>
    <row r="9" spans="2:7" x14ac:dyDescent="0.25">
      <c r="C9" s="191" t="s">
        <v>396</v>
      </c>
      <c r="E9" s="494">
        <v>1.4999999999999999E-2</v>
      </c>
    </row>
    <row r="11" spans="2:7" x14ac:dyDescent="0.25">
      <c r="C11" s="191" t="s">
        <v>397</v>
      </c>
      <c r="E11" s="494">
        <v>3.2000000000000001E-2</v>
      </c>
    </row>
    <row r="13" spans="2:7" x14ac:dyDescent="0.25">
      <c r="C13" s="191" t="s">
        <v>399</v>
      </c>
      <c r="E13" s="203">
        <v>1.4999999999999999E-2</v>
      </c>
      <c r="G13" s="203">
        <v>0.02</v>
      </c>
    </row>
    <row r="15" spans="2:7" x14ac:dyDescent="0.25">
      <c r="C15" s="191" t="s">
        <v>400</v>
      </c>
      <c r="E15" s="203">
        <v>0.01</v>
      </c>
      <c r="G15" s="203">
        <v>0.02</v>
      </c>
    </row>
    <row r="17" spans="3:7" x14ac:dyDescent="0.25">
      <c r="C17" s="191" t="s">
        <v>404</v>
      </c>
      <c r="G17" s="203">
        <v>3.0000000000000001E-3</v>
      </c>
    </row>
    <row r="19" spans="3:7" x14ac:dyDescent="0.25">
      <c r="C19" s="191" t="s">
        <v>403</v>
      </c>
    </row>
    <row r="21" spans="3:7" x14ac:dyDescent="0.25">
      <c r="C21" s="191" t="s">
        <v>398</v>
      </c>
      <c r="E21" s="191">
        <v>60</v>
      </c>
    </row>
    <row r="23" spans="3:7" x14ac:dyDescent="0.25">
      <c r="C23" s="191" t="s">
        <v>139</v>
      </c>
    </row>
    <row r="25" spans="3:7" x14ac:dyDescent="0.25">
      <c r="C25" s="191" t="s">
        <v>402</v>
      </c>
    </row>
    <row r="27" spans="3:7" x14ac:dyDescent="0.25">
      <c r="C27" s="191" t="s">
        <v>408</v>
      </c>
    </row>
    <row r="29" spans="3:7" x14ac:dyDescent="0.25">
      <c r="C29" s="191" t="s">
        <v>409</v>
      </c>
    </row>
    <row r="31" spans="3:7" x14ac:dyDescent="0.25">
      <c r="C31" s="191" t="s">
        <v>410</v>
      </c>
    </row>
    <row r="33" spans="1:12" x14ac:dyDescent="0.25">
      <c r="B33" s="484" t="s">
        <v>447</v>
      </c>
      <c r="C33" s="484"/>
      <c r="D33" s="484"/>
      <c r="E33" s="484"/>
      <c r="F33" s="484"/>
      <c r="G33" s="484"/>
      <c r="H33" s="484"/>
      <c r="I33" s="484"/>
    </row>
    <row r="35" spans="1:12" x14ac:dyDescent="0.25">
      <c r="A35" s="703" t="s">
        <v>426</v>
      </c>
      <c r="B35" s="703"/>
      <c r="C35" s="191" t="s">
        <v>484</v>
      </c>
    </row>
    <row r="36" spans="1:12" x14ac:dyDescent="0.25">
      <c r="A36" s="522"/>
      <c r="B36" s="522"/>
      <c r="C36" s="191" t="s">
        <v>479</v>
      </c>
    </row>
    <row r="37" spans="1:12" x14ac:dyDescent="0.25">
      <c r="C37" s="191" t="s">
        <v>480</v>
      </c>
    </row>
    <row r="38" spans="1:12" x14ac:dyDescent="0.25">
      <c r="C38" s="530" t="s">
        <v>441</v>
      </c>
    </row>
    <row r="39" spans="1:12" x14ac:dyDescent="0.25">
      <c r="C39" s="530" t="s">
        <v>481</v>
      </c>
    </row>
    <row r="40" spans="1:12" x14ac:dyDescent="0.25">
      <c r="C40" s="484" t="s">
        <v>443</v>
      </c>
      <c r="D40" s="484"/>
      <c r="E40" s="484"/>
      <c r="F40" s="484"/>
      <c r="G40" s="484"/>
      <c r="H40" s="484"/>
      <c r="I40" s="484"/>
      <c r="J40" s="484"/>
      <c r="K40" s="484"/>
      <c r="L40" s="484"/>
    </row>
    <row r="41" spans="1:12" x14ac:dyDescent="0.25">
      <c r="C41" s="484" t="s">
        <v>442</v>
      </c>
      <c r="D41" s="484"/>
      <c r="E41" s="484"/>
      <c r="F41" s="484"/>
      <c r="G41" s="484"/>
      <c r="H41" s="484"/>
      <c r="I41" s="484"/>
      <c r="J41" s="484"/>
      <c r="K41" s="484"/>
      <c r="L41" s="484"/>
    </row>
    <row r="42" spans="1:12" x14ac:dyDescent="0.25">
      <c r="C42" s="191" t="s">
        <v>444</v>
      </c>
    </row>
    <row r="43" spans="1:12" x14ac:dyDescent="0.25">
      <c r="C43" s="191" t="s">
        <v>446</v>
      </c>
    </row>
    <row r="44" spans="1:12" x14ac:dyDescent="0.25">
      <c r="C44" s="191" t="s">
        <v>445</v>
      </c>
    </row>
    <row r="45" spans="1:12" x14ac:dyDescent="0.25">
      <c r="C45" s="191" t="s">
        <v>482</v>
      </c>
    </row>
    <row r="47" spans="1:12" x14ac:dyDescent="0.25">
      <c r="A47" s="530" t="s">
        <v>483</v>
      </c>
    </row>
    <row r="48" spans="1:12" ht="36" customHeight="1" x14ac:dyDescent="0.25">
      <c r="A48" s="704" t="s">
        <v>425</v>
      </c>
      <c r="B48" s="704"/>
      <c r="C48" s="704"/>
      <c r="D48" s="704"/>
      <c r="E48" s="704"/>
      <c r="F48" s="704"/>
      <c r="G48" s="704"/>
      <c r="H48" s="704"/>
      <c r="I48" s="704"/>
      <c r="J48" s="704"/>
      <c r="K48" s="704"/>
      <c r="L48" s="704"/>
    </row>
    <row r="50" spans="3:10" x14ac:dyDescent="0.25">
      <c r="C50" s="191" t="s">
        <v>422</v>
      </c>
    </row>
    <row r="52" spans="3:10" x14ac:dyDescent="0.25">
      <c r="D52" s="191" t="s">
        <v>413</v>
      </c>
      <c r="G52" s="191" t="s">
        <v>414</v>
      </c>
    </row>
    <row r="54" spans="3:10" x14ac:dyDescent="0.25">
      <c r="E54" s="507" t="s">
        <v>415</v>
      </c>
      <c r="F54" s="508"/>
      <c r="G54" s="508"/>
      <c r="H54" s="508"/>
      <c r="I54" s="508"/>
      <c r="J54" s="509"/>
    </row>
    <row r="55" spans="3:10" x14ac:dyDescent="0.25">
      <c r="E55" s="510"/>
      <c r="F55" s="511"/>
      <c r="G55" s="511"/>
      <c r="H55" s="511"/>
      <c r="I55" s="511"/>
      <c r="J55" s="512"/>
    </row>
    <row r="56" spans="3:10" x14ac:dyDescent="0.25">
      <c r="E56" s="510"/>
      <c r="F56" s="511" t="s">
        <v>416</v>
      </c>
      <c r="G56" s="511"/>
      <c r="H56" s="511"/>
      <c r="I56" s="511"/>
      <c r="J56" s="512"/>
    </row>
    <row r="57" spans="3:10" x14ac:dyDescent="0.25">
      <c r="E57" s="510"/>
      <c r="F57" s="511"/>
      <c r="G57" s="511"/>
      <c r="H57" s="511"/>
      <c r="I57" s="511"/>
      <c r="J57" s="512"/>
    </row>
    <row r="58" spans="3:10" x14ac:dyDescent="0.25">
      <c r="E58" s="510"/>
      <c r="F58" s="511"/>
      <c r="G58" s="511" t="s">
        <v>417</v>
      </c>
      <c r="H58" s="511"/>
      <c r="I58" s="511"/>
      <c r="J58" s="512"/>
    </row>
    <row r="59" spans="3:10" x14ac:dyDescent="0.25">
      <c r="E59" s="510"/>
      <c r="F59" s="511"/>
      <c r="G59" s="511"/>
      <c r="H59" s="511"/>
      <c r="I59" s="511"/>
      <c r="J59" s="512"/>
    </row>
    <row r="60" spans="3:10" x14ac:dyDescent="0.25">
      <c r="E60" s="510"/>
      <c r="F60" s="511"/>
      <c r="G60" s="511"/>
      <c r="H60" s="511" t="s">
        <v>418</v>
      </c>
      <c r="I60" s="511"/>
      <c r="J60" s="516">
        <v>3000</v>
      </c>
    </row>
    <row r="61" spans="3:10" x14ac:dyDescent="0.25">
      <c r="E61" s="510"/>
      <c r="F61" s="511"/>
      <c r="G61" s="511"/>
      <c r="H61" s="511"/>
      <c r="I61" s="511"/>
      <c r="J61" s="512"/>
    </row>
    <row r="62" spans="3:10" x14ac:dyDescent="0.25">
      <c r="E62" s="510"/>
      <c r="F62" s="511"/>
      <c r="G62" s="511"/>
      <c r="H62" s="511" t="s">
        <v>419</v>
      </c>
      <c r="I62" s="511"/>
      <c r="J62" s="517" t="s">
        <v>420</v>
      </c>
    </row>
    <row r="63" spans="3:10" x14ac:dyDescent="0.25">
      <c r="E63" s="510"/>
      <c r="F63" s="511"/>
      <c r="G63" s="511"/>
      <c r="H63" s="511"/>
      <c r="I63" s="511"/>
      <c r="J63" s="512"/>
    </row>
    <row r="64" spans="3:10" x14ac:dyDescent="0.25">
      <c r="E64" s="513"/>
      <c r="F64" s="514"/>
      <c r="G64" s="514"/>
      <c r="H64" s="514" t="s">
        <v>421</v>
      </c>
      <c r="I64" s="514"/>
      <c r="J64" s="515"/>
    </row>
    <row r="66" spans="4:7" x14ac:dyDescent="0.25">
      <c r="D66" s="191" t="s">
        <v>423</v>
      </c>
      <c r="G66" s="191">
        <v>3733.29</v>
      </c>
    </row>
    <row r="68" spans="4:7" x14ac:dyDescent="0.25">
      <c r="D68" s="191" t="s">
        <v>486</v>
      </c>
    </row>
    <row r="70" spans="4:7" x14ac:dyDescent="0.25">
      <c r="D70" s="191" t="s">
        <v>424</v>
      </c>
    </row>
    <row r="72" spans="4:7" x14ac:dyDescent="0.25">
      <c r="F72" s="191">
        <v>3000</v>
      </c>
    </row>
    <row r="73" spans="4:7" x14ac:dyDescent="0.25">
      <c r="F73" s="191">
        <v>-132</v>
      </c>
    </row>
    <row r="74" spans="4:7" x14ac:dyDescent="0.25">
      <c r="F74" s="191">
        <f>'BP FORMAT JUILLET 2023'!E82</f>
        <v>-45.4</v>
      </c>
    </row>
    <row r="75" spans="4:7" x14ac:dyDescent="0.25">
      <c r="F75" s="191">
        <f>SUM(F72:F74)</f>
        <v>2822.6</v>
      </c>
    </row>
  </sheetData>
  <mergeCells count="2">
    <mergeCell ref="A35:B35"/>
    <mergeCell ref="A48:L48"/>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Q134"/>
  <sheetViews>
    <sheetView topLeftCell="A84" zoomScale="130" zoomScaleNormal="130" workbookViewId="0">
      <selection activeCell="A91" sqref="A91:XFD91"/>
    </sheetView>
  </sheetViews>
  <sheetFormatPr baseColWidth="10" defaultColWidth="11.42578125" defaultRowHeight="16.5" x14ac:dyDescent="0.3"/>
  <cols>
    <col min="1" max="1" width="17.140625" style="231" customWidth="1"/>
    <col min="2" max="2" width="22.28515625" style="231" customWidth="1"/>
    <col min="3" max="3" width="11" style="228" customWidth="1"/>
    <col min="4" max="4" width="9.140625" style="229" customWidth="1"/>
    <col min="5" max="5" width="9" style="229" customWidth="1"/>
    <col min="6" max="6" width="12.28515625" style="228" customWidth="1"/>
    <col min="7" max="7" width="12.42578125" style="228" customWidth="1"/>
    <col min="8" max="8" width="8.42578125" style="27" customWidth="1"/>
    <col min="9" max="9" width="10.5703125" style="27" bestFit="1" customWidth="1"/>
    <col min="10" max="10" width="11.140625" style="27" customWidth="1"/>
    <col min="11" max="11" width="7.5703125" style="27" customWidth="1"/>
    <col min="12" max="12" width="12.85546875" style="27" customWidth="1"/>
    <col min="13" max="16384" width="11.42578125" style="27"/>
  </cols>
  <sheetData>
    <row r="1" spans="1:10" ht="15.75" customHeight="1" x14ac:dyDescent="0.3">
      <c r="A1" s="687" t="s">
        <v>228</v>
      </c>
      <c r="B1" s="687"/>
      <c r="C1" s="687"/>
      <c r="D1" s="687"/>
      <c r="E1" s="687"/>
      <c r="F1" s="687"/>
      <c r="G1" s="687"/>
      <c r="H1" s="688"/>
      <c r="I1" s="688"/>
      <c r="J1" s="688"/>
    </row>
    <row r="2" spans="1:10" ht="15.75" customHeight="1" x14ac:dyDescent="0.3">
      <c r="A2" s="689" t="s">
        <v>0</v>
      </c>
      <c r="B2" s="690"/>
      <c r="C2" s="690"/>
      <c r="D2" s="691"/>
      <c r="E2" s="313"/>
      <c r="F2" s="692" t="s">
        <v>1</v>
      </c>
      <c r="G2" s="693"/>
      <c r="H2" s="693"/>
      <c r="I2" s="693"/>
      <c r="J2" s="694"/>
    </row>
    <row r="3" spans="1:10" ht="15.75" customHeight="1" x14ac:dyDescent="0.3">
      <c r="A3" s="314" t="s">
        <v>2</v>
      </c>
      <c r="B3" s="695" t="str">
        <f>'MASQUE DE SAISIE '!G4</f>
        <v xml:space="preserve">ATGR </v>
      </c>
      <c r="C3" s="696"/>
      <c r="D3" s="697"/>
      <c r="E3" s="315"/>
      <c r="F3" s="316" t="s">
        <v>2</v>
      </c>
      <c r="G3" s="685" t="str">
        <f>'MASQUE DE SAISIE '!E26</f>
        <v xml:space="preserve">MARTINO </v>
      </c>
      <c r="H3" s="685"/>
      <c r="I3" s="685"/>
      <c r="J3" s="685"/>
    </row>
    <row r="4" spans="1:10" ht="15.75" customHeight="1" x14ac:dyDescent="0.3">
      <c r="A4" s="314" t="s">
        <v>3</v>
      </c>
      <c r="B4" s="695" t="str">
        <f>'MASQUE DE SAISIE '!G5</f>
        <v xml:space="preserve">3 Rue Paul Vaillant Couturier 92300 Levallois-Perret </v>
      </c>
      <c r="C4" s="696"/>
      <c r="D4" s="697"/>
      <c r="E4" s="315"/>
      <c r="F4" s="316" t="s">
        <v>4</v>
      </c>
      <c r="G4" s="685" t="str">
        <f>'MASQUE DE SAISIE '!E27</f>
        <v xml:space="preserve">Hervé </v>
      </c>
      <c r="H4" s="685"/>
      <c r="I4" s="685"/>
      <c r="J4" s="685"/>
    </row>
    <row r="5" spans="1:10" ht="15.75" customHeight="1" x14ac:dyDescent="0.3">
      <c r="A5" s="314"/>
      <c r="B5" s="678"/>
      <c r="C5" s="684"/>
      <c r="D5" s="675"/>
      <c r="E5" s="315"/>
      <c r="F5" s="316" t="s">
        <v>5</v>
      </c>
      <c r="G5" s="730" t="str">
        <f>'MASQUE DE SAISIE '!E29</f>
        <v>Responsable Paie</v>
      </c>
      <c r="H5" s="731"/>
      <c r="I5" s="731"/>
      <c r="J5" s="731"/>
    </row>
    <row r="6" spans="1:10" ht="15.75" customHeight="1" x14ac:dyDescent="0.3">
      <c r="A6" s="314" t="s">
        <v>6</v>
      </c>
      <c r="B6" s="671">
        <f>'MASQUE DE SAISIE '!G6</f>
        <v>34464426500029</v>
      </c>
      <c r="C6" s="672"/>
      <c r="D6" s="673"/>
      <c r="E6" s="317"/>
      <c r="F6" s="316" t="s">
        <v>7</v>
      </c>
      <c r="G6" s="685">
        <f>'MASQUE DE SAISIE '!E30</f>
        <v>450</v>
      </c>
      <c r="H6" s="685"/>
      <c r="I6" s="685"/>
      <c r="J6" s="685"/>
    </row>
    <row r="7" spans="1:10" ht="15.75" customHeight="1" x14ac:dyDescent="0.3">
      <c r="A7" s="314" t="s">
        <v>8</v>
      </c>
      <c r="B7" s="678" t="str">
        <f>'MASQUE DE SAISIE '!G7</f>
        <v xml:space="preserve">7111C </v>
      </c>
      <c r="C7" s="684"/>
      <c r="D7" s="675"/>
      <c r="E7" s="315"/>
      <c r="F7" s="316" t="s">
        <v>9</v>
      </c>
      <c r="G7" s="686" t="str">
        <f>'MASQUE DE SAISIE '!E31</f>
        <v>1.63.11.59.52.55.</v>
      </c>
      <c r="H7" s="686"/>
      <c r="I7" s="686"/>
      <c r="J7" s="686"/>
    </row>
    <row r="8" spans="1:10" ht="15.75" customHeight="1" x14ac:dyDescent="0.3">
      <c r="A8" s="314" t="s">
        <v>10</v>
      </c>
      <c r="B8" s="671"/>
      <c r="C8" s="672"/>
      <c r="D8" s="673"/>
      <c r="E8" s="317"/>
      <c r="F8" s="318" t="s">
        <v>3</v>
      </c>
      <c r="G8" s="685" t="str">
        <f>'MASQUE DE SAISIE '!E28</f>
        <v xml:space="preserve">3 Rue Paul  92700 Colombes </v>
      </c>
      <c r="H8" s="685"/>
      <c r="I8" s="685"/>
      <c r="J8" s="685"/>
    </row>
    <row r="9" spans="1:10" ht="15.75" customHeight="1" x14ac:dyDescent="0.3">
      <c r="A9" s="314" t="s">
        <v>11</v>
      </c>
      <c r="B9" s="319">
        <f>'MASQUE DE SAISIE '!G9</f>
        <v>60</v>
      </c>
      <c r="C9" s="674"/>
      <c r="D9" s="675"/>
      <c r="E9" s="315"/>
      <c r="F9" s="676" t="s">
        <v>12</v>
      </c>
      <c r="G9" s="677"/>
      <c r="H9" s="320"/>
      <c r="I9" s="321">
        <f>'MASQUE DE SAISIE '!E33</f>
        <v>1</v>
      </c>
      <c r="J9" s="321" t="str">
        <f>'MASQUE DE SAISIE '!E32</f>
        <v>NC</v>
      </c>
    </row>
    <row r="10" spans="1:10" ht="15.75" customHeight="1" x14ac:dyDescent="0.3">
      <c r="A10" s="323" t="s">
        <v>13</v>
      </c>
      <c r="B10" s="324">
        <f>'MASQUE DE SAISIE '!E46</f>
        <v>151.66999999999999</v>
      </c>
      <c r="C10" s="321" t="s">
        <v>14</v>
      </c>
      <c r="D10" s="426">
        <f>'MASQUE DE SAISIE '!E43</f>
        <v>12.02</v>
      </c>
      <c r="E10" s="315"/>
      <c r="F10" s="678" t="s">
        <v>229</v>
      </c>
      <c r="G10" s="675"/>
      <c r="H10" s="369">
        <f>'MASQUE DE SAISIE '!E38</f>
        <v>46023</v>
      </c>
      <c r="I10" s="325" t="s">
        <v>15</v>
      </c>
      <c r="J10" s="370">
        <f>'MASQUE DE SAISIE '!E39</f>
        <v>46053</v>
      </c>
    </row>
    <row r="11" spans="1:10" ht="30" customHeight="1" x14ac:dyDescent="0.3">
      <c r="A11" s="326"/>
      <c r="B11" s="679" t="s">
        <v>287</v>
      </c>
      <c r="C11" s="680"/>
      <c r="D11" s="681"/>
      <c r="E11" s="327"/>
      <c r="F11" s="326" t="s">
        <v>16</v>
      </c>
      <c r="G11" s="371">
        <f>'MASQUE DE SAISIE '!E39</f>
        <v>46053</v>
      </c>
      <c r="H11" s="68"/>
      <c r="I11" s="68"/>
      <c r="J11" s="372"/>
    </row>
    <row r="12" spans="1:10" ht="9.75" customHeight="1" x14ac:dyDescent="0.3">
      <c r="A12" s="682"/>
      <c r="B12" s="683"/>
      <c r="C12" s="683"/>
      <c r="D12" s="683"/>
      <c r="E12" s="683"/>
      <c r="F12" s="683"/>
      <c r="G12" s="683"/>
      <c r="H12" s="683"/>
      <c r="I12" s="683"/>
      <c r="J12" s="683"/>
    </row>
    <row r="13" spans="1:10" ht="18.75" customHeight="1" x14ac:dyDescent="0.3">
      <c r="A13" s="663" t="s">
        <v>17</v>
      </c>
      <c r="B13" s="664"/>
      <c r="C13" s="664"/>
      <c r="D13" s="664"/>
      <c r="E13" s="664"/>
      <c r="F13" s="665"/>
      <c r="G13" s="462">
        <v>151.66999999999999</v>
      </c>
      <c r="H13" s="463" t="s">
        <v>18</v>
      </c>
      <c r="I13" s="464">
        <f>ROUND(J13/G13,2)</f>
        <v>24.61</v>
      </c>
      <c r="J13" s="465">
        <v>3733.2904575440102</v>
      </c>
    </row>
    <row r="14" spans="1:10" ht="18.75" hidden="1" customHeight="1" x14ac:dyDescent="0.3">
      <c r="A14" s="663" t="s">
        <v>230</v>
      </c>
      <c r="B14" s="664"/>
      <c r="C14" s="664"/>
      <c r="D14" s="664"/>
      <c r="E14" s="664"/>
      <c r="F14" s="665"/>
      <c r="G14" s="463"/>
      <c r="H14" s="463"/>
      <c r="I14" s="464"/>
      <c r="J14" s="465"/>
    </row>
    <row r="15" spans="1:10" ht="18.600000000000001" customHeight="1" x14ac:dyDescent="0.3">
      <c r="A15" s="663" t="s">
        <v>412</v>
      </c>
      <c r="B15" s="664"/>
      <c r="C15" s="664"/>
      <c r="D15" s="664"/>
      <c r="E15" s="664"/>
      <c r="F15" s="665"/>
      <c r="G15" s="468"/>
      <c r="H15" s="466"/>
      <c r="I15" s="464"/>
      <c r="J15" s="465">
        <f>'ENONCE '!E7</f>
        <v>200</v>
      </c>
    </row>
    <row r="16" spans="1:10" ht="18.75" hidden="1" customHeight="1" x14ac:dyDescent="0.3">
      <c r="A16" s="663" t="s">
        <v>231</v>
      </c>
      <c r="B16" s="664"/>
      <c r="C16" s="664"/>
      <c r="D16" s="664"/>
      <c r="E16" s="664"/>
      <c r="F16" s="665"/>
      <c r="G16" s="468"/>
      <c r="H16" s="466"/>
      <c r="I16" s="464"/>
      <c r="J16" s="465"/>
    </row>
    <row r="17" spans="1:10" ht="18.75" hidden="1" customHeight="1" x14ac:dyDescent="0.3">
      <c r="A17" s="663" t="s">
        <v>19</v>
      </c>
      <c r="B17" s="664"/>
      <c r="C17" s="664"/>
      <c r="D17" s="664"/>
      <c r="E17" s="664"/>
      <c r="F17" s="665"/>
      <c r="G17" s="468"/>
      <c r="H17" s="466" t="s">
        <v>18</v>
      </c>
      <c r="I17" s="464"/>
      <c r="J17" s="465"/>
    </row>
    <row r="18" spans="1:10" ht="18.75" hidden="1" customHeight="1" x14ac:dyDescent="0.3">
      <c r="A18" s="663" t="s">
        <v>232</v>
      </c>
      <c r="B18" s="664"/>
      <c r="C18" s="664"/>
      <c r="D18" s="664"/>
      <c r="E18" s="664"/>
      <c r="F18" s="665"/>
      <c r="G18" s="468"/>
      <c r="H18" s="466" t="s">
        <v>18</v>
      </c>
      <c r="I18" s="464"/>
      <c r="J18" s="465">
        <f t="shared" ref="J18:J22" si="0">ROUND(G18*I18,2)</f>
        <v>0</v>
      </c>
    </row>
    <row r="19" spans="1:10" ht="18.75" hidden="1" customHeight="1" x14ac:dyDescent="0.3">
      <c r="A19" s="663" t="s">
        <v>233</v>
      </c>
      <c r="B19" s="664"/>
      <c r="C19" s="664"/>
      <c r="D19" s="664"/>
      <c r="E19" s="664"/>
      <c r="F19" s="665"/>
      <c r="G19" s="468"/>
      <c r="H19" s="466" t="s">
        <v>18</v>
      </c>
      <c r="I19" s="54">
        <f>ROUND((J13+J14+J16+J17)*1.25/G13,2)</f>
        <v>30.77</v>
      </c>
      <c r="J19" s="465">
        <f t="shared" si="0"/>
        <v>0</v>
      </c>
    </row>
    <row r="20" spans="1:10" ht="18.75" hidden="1" customHeight="1" x14ac:dyDescent="0.3">
      <c r="A20" s="663" t="s">
        <v>234</v>
      </c>
      <c r="B20" s="664"/>
      <c r="C20" s="664"/>
      <c r="D20" s="664"/>
      <c r="E20" s="664"/>
      <c r="F20" s="665"/>
      <c r="G20" s="468"/>
      <c r="H20" s="466" t="s">
        <v>18</v>
      </c>
      <c r="I20" s="54">
        <f>ROUND((J13+J14+J16+J17)*1.1/G13,2)</f>
        <v>27.08</v>
      </c>
      <c r="J20" s="465">
        <f t="shared" si="0"/>
        <v>0</v>
      </c>
    </row>
    <row r="21" spans="1:10" ht="18.75" hidden="1" customHeight="1" x14ac:dyDescent="0.3">
      <c r="A21" s="663" t="s">
        <v>394</v>
      </c>
      <c r="B21" s="664"/>
      <c r="C21" s="664"/>
      <c r="D21" s="664"/>
      <c r="E21" s="664"/>
      <c r="F21" s="665"/>
      <c r="G21" s="469"/>
      <c r="H21" s="26"/>
      <c r="I21" s="470">
        <f>I20</f>
        <v>27.08</v>
      </c>
      <c r="J21" s="465">
        <f t="shared" si="0"/>
        <v>0</v>
      </c>
    </row>
    <row r="22" spans="1:10" ht="18.75" hidden="1" customHeight="1" x14ac:dyDescent="0.3">
      <c r="A22" s="663" t="s">
        <v>395</v>
      </c>
      <c r="B22" s="664"/>
      <c r="C22" s="664"/>
      <c r="D22" s="664"/>
      <c r="E22" s="664"/>
      <c r="F22" s="665"/>
      <c r="G22" s="463"/>
      <c r="H22" s="466" t="s">
        <v>18</v>
      </c>
      <c r="I22" s="464">
        <f>+I21</f>
        <v>27.08</v>
      </c>
      <c r="J22" s="465">
        <f t="shared" si="0"/>
        <v>0</v>
      </c>
    </row>
    <row r="23" spans="1:10" ht="18.75" hidden="1" customHeight="1" x14ac:dyDescent="0.3">
      <c r="A23" s="663" t="s">
        <v>401</v>
      </c>
      <c r="B23" s="664"/>
      <c r="C23" s="664"/>
      <c r="D23" s="664"/>
      <c r="E23" s="664"/>
      <c r="F23" s="665"/>
      <c r="G23" s="471"/>
      <c r="H23" s="472"/>
      <c r="I23" s="473"/>
      <c r="J23" s="465"/>
    </row>
    <row r="24" spans="1:10" ht="18.75" hidden="1" customHeight="1" x14ac:dyDescent="0.3">
      <c r="A24" s="663" t="s">
        <v>20</v>
      </c>
      <c r="B24" s="664"/>
      <c r="C24" s="664"/>
      <c r="D24" s="664"/>
      <c r="E24" s="664"/>
      <c r="F24" s="665"/>
      <c r="G24" s="328"/>
      <c r="H24" s="329"/>
      <c r="I24" s="322"/>
      <c r="J24" s="330"/>
    </row>
    <row r="25" spans="1:10" ht="18.75" hidden="1" customHeight="1" x14ac:dyDescent="0.3">
      <c r="A25" s="663" t="s">
        <v>21</v>
      </c>
      <c r="B25" s="664"/>
      <c r="C25" s="664"/>
      <c r="D25" s="664"/>
      <c r="E25" s="664"/>
      <c r="F25" s="665"/>
      <c r="G25" s="328"/>
      <c r="H25" s="329"/>
      <c r="I25" s="322"/>
      <c r="J25" s="330"/>
    </row>
    <row r="26" spans="1:10" ht="18.75" hidden="1" customHeight="1" x14ac:dyDescent="0.3">
      <c r="A26" s="663" t="s">
        <v>22</v>
      </c>
      <c r="B26" s="664"/>
      <c r="C26" s="664"/>
      <c r="D26" s="664"/>
      <c r="E26" s="664"/>
      <c r="F26" s="665"/>
      <c r="G26" s="328"/>
      <c r="H26" s="329"/>
      <c r="I26" s="322"/>
      <c r="J26" s="330"/>
    </row>
    <row r="27" spans="1:10" ht="18.75" hidden="1" customHeight="1" x14ac:dyDescent="0.3">
      <c r="A27" s="663" t="s">
        <v>23</v>
      </c>
      <c r="B27" s="664"/>
      <c r="C27" s="664"/>
      <c r="D27" s="664"/>
      <c r="E27" s="664"/>
      <c r="F27" s="665"/>
      <c r="G27" s="328"/>
      <c r="H27" s="329"/>
      <c r="I27" s="322"/>
      <c r="J27" s="330"/>
    </row>
    <row r="28" spans="1:10" ht="18.75" hidden="1" customHeight="1" x14ac:dyDescent="0.3">
      <c r="A28" s="663" t="s">
        <v>24</v>
      </c>
      <c r="B28" s="664"/>
      <c r="C28" s="664"/>
      <c r="D28" s="664"/>
      <c r="E28" s="664"/>
      <c r="F28" s="665"/>
      <c r="G28" s="328"/>
      <c r="H28" s="329"/>
      <c r="I28" s="322"/>
      <c r="J28" s="330"/>
    </row>
    <row r="29" spans="1:10" ht="18.75" hidden="1" customHeight="1" x14ac:dyDescent="0.3">
      <c r="A29" s="663" t="s">
        <v>25</v>
      </c>
      <c r="B29" s="664"/>
      <c r="C29" s="664"/>
      <c r="D29" s="664"/>
      <c r="E29" s="664"/>
      <c r="F29" s="665"/>
      <c r="G29" s="328"/>
      <c r="H29" s="329"/>
      <c r="I29" s="322"/>
      <c r="J29" s="330"/>
    </row>
    <row r="30" spans="1:10" ht="18.75" hidden="1" customHeight="1" x14ac:dyDescent="0.3">
      <c r="A30" s="663" t="s">
        <v>26</v>
      </c>
      <c r="B30" s="664"/>
      <c r="C30" s="664"/>
      <c r="D30" s="664"/>
      <c r="E30" s="664"/>
      <c r="F30" s="665"/>
      <c r="G30" s="328"/>
      <c r="H30" s="329"/>
      <c r="I30" s="322"/>
      <c r="J30" s="330"/>
    </row>
    <row r="31" spans="1:10" ht="18.75" hidden="1" customHeight="1" x14ac:dyDescent="0.3">
      <c r="A31" s="663" t="s">
        <v>27</v>
      </c>
      <c r="B31" s="664"/>
      <c r="C31" s="664"/>
      <c r="D31" s="664"/>
      <c r="E31" s="664"/>
      <c r="F31" s="665"/>
      <c r="G31" s="328"/>
      <c r="H31" s="329"/>
      <c r="I31" s="322"/>
      <c r="J31" s="330"/>
    </row>
    <row r="32" spans="1:10" ht="18.600000000000001" hidden="1" customHeight="1" x14ac:dyDescent="0.3">
      <c r="A32" s="663"/>
      <c r="B32" s="664"/>
      <c r="C32" s="664"/>
      <c r="D32" s="664"/>
      <c r="E32" s="664"/>
      <c r="F32" s="665"/>
      <c r="G32" s="328"/>
      <c r="H32" s="329"/>
      <c r="I32" s="322"/>
      <c r="J32" s="330"/>
    </row>
    <row r="33" spans="1:10" ht="18.75" customHeight="1" x14ac:dyDescent="0.3">
      <c r="A33" s="666" t="s">
        <v>28</v>
      </c>
      <c r="B33" s="667"/>
      <c r="C33" s="331">
        <f>'MASQUE DE SAISIE '!E44</f>
        <v>4005</v>
      </c>
      <c r="D33" s="735" t="s">
        <v>29</v>
      </c>
      <c r="E33" s="736"/>
      <c r="F33" s="736"/>
      <c r="G33" s="736"/>
      <c r="H33" s="736"/>
      <c r="I33" s="737"/>
      <c r="J33" s="368">
        <f>SUM(J13:J32)</f>
        <v>3933.2904575440102</v>
      </c>
    </row>
    <row r="34" spans="1:10" ht="17.25" customHeight="1" x14ac:dyDescent="0.3">
      <c r="A34" s="738"/>
      <c r="B34" s="739"/>
      <c r="C34" s="739"/>
      <c r="D34" s="739"/>
      <c r="E34" s="739"/>
      <c r="F34" s="739"/>
      <c r="G34" s="739"/>
      <c r="H34" s="739"/>
      <c r="I34" s="739"/>
      <c r="J34" s="740"/>
    </row>
    <row r="35" spans="1:10" ht="30" customHeight="1" x14ac:dyDescent="0.3">
      <c r="A35" s="741" t="s">
        <v>281</v>
      </c>
      <c r="B35" s="742"/>
      <c r="C35" s="366" t="s">
        <v>31</v>
      </c>
      <c r="D35" s="367" t="s">
        <v>32</v>
      </c>
      <c r="E35" s="367" t="s">
        <v>33</v>
      </c>
      <c r="F35" s="366" t="s">
        <v>34</v>
      </c>
      <c r="G35" s="366" t="s">
        <v>35</v>
      </c>
      <c r="H35" s="272"/>
    </row>
    <row r="36" spans="1:10" x14ac:dyDescent="0.3">
      <c r="A36" s="709" t="s">
        <v>36</v>
      </c>
      <c r="B36" s="710"/>
      <c r="C36" s="732"/>
      <c r="D36" s="733"/>
      <c r="E36" s="733"/>
      <c r="F36" s="733"/>
      <c r="G36" s="734"/>
    </row>
    <row r="37" spans="1:10" ht="19.5" customHeight="1" x14ac:dyDescent="0.3">
      <c r="A37" s="606" t="s">
        <v>457</v>
      </c>
      <c r="B37" s="653"/>
      <c r="C37" s="332">
        <f>J33</f>
        <v>3933.2904575440102</v>
      </c>
      <c r="D37" s="333"/>
      <c r="E37" s="333">
        <f>VLOOKUP(A37,TAUX2023,4,FALSE)</f>
        <v>0.13</v>
      </c>
      <c r="F37" s="334"/>
      <c r="G37" s="332">
        <f>ROUND(C37*E37,2)</f>
        <v>511.33</v>
      </c>
      <c r="J37" s="230"/>
    </row>
    <row r="38" spans="1:10" ht="18.75" hidden="1" customHeight="1" x14ac:dyDescent="0.3">
      <c r="A38" s="606"/>
      <c r="B38" s="653"/>
      <c r="C38" s="335"/>
      <c r="D38" s="333"/>
      <c r="E38" s="333"/>
      <c r="F38" s="334"/>
      <c r="G38" s="332"/>
      <c r="J38" s="230"/>
    </row>
    <row r="39" spans="1:10" ht="20.45" hidden="1" customHeight="1" x14ac:dyDescent="0.3">
      <c r="A39" s="733"/>
      <c r="B39" s="734"/>
      <c r="C39" s="332"/>
      <c r="D39" s="336"/>
      <c r="E39" s="336"/>
      <c r="F39" s="334">
        <f t="shared" ref="F39:F71" si="1">ROUND(C39*D39,2)</f>
        <v>0</v>
      </c>
      <c r="G39" s="332">
        <f t="shared" ref="G39:G63" si="2">ROUND(C39*E39,2)</f>
        <v>0</v>
      </c>
      <c r="J39" s="45"/>
    </row>
    <row r="40" spans="1:10" ht="20.45" customHeight="1" x14ac:dyDescent="0.3">
      <c r="A40" s="606" t="s">
        <v>245</v>
      </c>
      <c r="B40" s="653"/>
      <c r="C40" s="332">
        <f>IF(I9=1,J33,0)</f>
        <v>3933.2904575440102</v>
      </c>
      <c r="D40" s="333">
        <f>'MASQUE DE SAISIE '!G12</f>
        <v>1.4999999999999999E-2</v>
      </c>
      <c r="E40" s="333">
        <f>'MASQUE DE SAISIE '!H12</f>
        <v>0.02</v>
      </c>
      <c r="F40" s="334">
        <f t="shared" si="1"/>
        <v>59</v>
      </c>
      <c r="G40" s="332">
        <f t="shared" si="2"/>
        <v>78.67</v>
      </c>
      <c r="J40" s="45"/>
    </row>
    <row r="41" spans="1:10" ht="30" hidden="1" customHeight="1" x14ac:dyDescent="0.3">
      <c r="A41" s="729"/>
      <c r="B41" s="729"/>
      <c r="C41" s="332"/>
      <c r="D41" s="333"/>
      <c r="E41" s="333"/>
      <c r="F41" s="334">
        <f t="shared" si="1"/>
        <v>0</v>
      </c>
      <c r="G41" s="332">
        <f t="shared" si="2"/>
        <v>0</v>
      </c>
      <c r="J41" s="45"/>
    </row>
    <row r="42" spans="1:10" ht="30" hidden="1" customHeight="1" x14ac:dyDescent="0.3">
      <c r="A42" s="729"/>
      <c r="B42" s="729"/>
      <c r="C42" s="336"/>
      <c r="D42" s="336"/>
      <c r="E42" s="336"/>
      <c r="F42" s="334">
        <f t="shared" si="1"/>
        <v>0</v>
      </c>
      <c r="G42" s="332">
        <f t="shared" si="2"/>
        <v>0</v>
      </c>
      <c r="J42" s="45"/>
    </row>
    <row r="43" spans="1:10" ht="30" hidden="1" customHeight="1" x14ac:dyDescent="0.3">
      <c r="A43" s="606" t="s">
        <v>194</v>
      </c>
      <c r="B43" s="653"/>
      <c r="C43" s="332">
        <f>IF(I9=2,J33,0)</f>
        <v>0</v>
      </c>
      <c r="D43" s="333">
        <f>'MASQUE DE SAISIE '!G15</f>
        <v>0</v>
      </c>
      <c r="E43" s="333">
        <f>'MASQUE DE SAISIE '!H15</f>
        <v>0</v>
      </c>
      <c r="F43" s="334">
        <f t="shared" si="1"/>
        <v>0</v>
      </c>
      <c r="G43" s="332">
        <f t="shared" si="2"/>
        <v>0</v>
      </c>
      <c r="J43" s="45"/>
    </row>
    <row r="44" spans="1:10" ht="30" hidden="1" customHeight="1" x14ac:dyDescent="0.3">
      <c r="J44" s="45"/>
    </row>
    <row r="45" spans="1:10" ht="30" hidden="1" customHeight="1" x14ac:dyDescent="0.3">
      <c r="A45" s="729" t="s">
        <v>199</v>
      </c>
      <c r="B45" s="729"/>
      <c r="C45" s="337"/>
      <c r="D45" s="333">
        <f>VLOOKUP(A45,TAUX2023,3,FALSE)</f>
        <v>0</v>
      </c>
      <c r="E45" s="333">
        <f>VLOOKUP(A45,TAUX2023,4,FALSE)</f>
        <v>0</v>
      </c>
      <c r="F45" s="334">
        <f t="shared" si="1"/>
        <v>0</v>
      </c>
      <c r="G45" s="332">
        <f t="shared" si="2"/>
        <v>0</v>
      </c>
      <c r="J45" s="45"/>
    </row>
    <row r="46" spans="1:10" ht="30" hidden="1" customHeight="1" x14ac:dyDescent="0.3">
      <c r="A46" s="729" t="s">
        <v>200</v>
      </c>
      <c r="B46" s="729"/>
      <c r="C46" s="332"/>
      <c r="D46" s="333">
        <f>VLOOKUP(A46,TAUX2023,3,FALSE)</f>
        <v>0</v>
      </c>
      <c r="E46" s="333">
        <f>VLOOKUP(A46,TAUX2023,4,FALSE)</f>
        <v>0</v>
      </c>
      <c r="F46" s="334">
        <f t="shared" si="1"/>
        <v>0</v>
      </c>
      <c r="G46" s="332">
        <f t="shared" si="2"/>
        <v>0</v>
      </c>
      <c r="J46" s="45"/>
    </row>
    <row r="47" spans="1:10" ht="30" hidden="1" customHeight="1" x14ac:dyDescent="0.3">
      <c r="A47" s="758"/>
      <c r="B47" s="758"/>
      <c r="C47" s="332"/>
      <c r="D47" s="333"/>
      <c r="E47" s="333"/>
      <c r="F47" s="334">
        <f t="shared" si="1"/>
        <v>0</v>
      </c>
      <c r="G47" s="332">
        <f t="shared" si="2"/>
        <v>0</v>
      </c>
      <c r="J47" s="45"/>
    </row>
    <row r="48" spans="1:10" ht="30" hidden="1" customHeight="1" x14ac:dyDescent="0.3">
      <c r="A48" s="62"/>
      <c r="B48" s="62"/>
      <c r="C48" s="332"/>
      <c r="D48" s="336"/>
      <c r="E48" s="336"/>
      <c r="F48" s="334">
        <f t="shared" si="1"/>
        <v>0</v>
      </c>
      <c r="G48" s="332">
        <f t="shared" si="2"/>
        <v>0</v>
      </c>
      <c r="J48" s="45"/>
    </row>
    <row r="49" spans="1:16" ht="42" customHeight="1" x14ac:dyDescent="0.3">
      <c r="A49" s="705" t="s">
        <v>37</v>
      </c>
      <c r="B49" s="706"/>
      <c r="C49" s="338">
        <f>J33</f>
        <v>3933.2904575440102</v>
      </c>
      <c r="D49" s="333"/>
      <c r="E49" s="333">
        <f>'MASQUE DE SAISIE '!H21</f>
        <v>1.4999999999999999E-2</v>
      </c>
      <c r="F49" s="334"/>
      <c r="G49" s="332">
        <f t="shared" si="2"/>
        <v>59</v>
      </c>
      <c r="J49" s="45"/>
    </row>
    <row r="50" spans="1:16" ht="23.25" customHeight="1" x14ac:dyDescent="0.3">
      <c r="A50" s="705" t="s">
        <v>38</v>
      </c>
      <c r="B50" s="706"/>
      <c r="C50" s="339"/>
      <c r="D50" s="333"/>
      <c r="E50" s="333"/>
      <c r="F50" s="334"/>
      <c r="G50" s="332"/>
    </row>
    <row r="51" spans="1:16" ht="20.25" customHeight="1" x14ac:dyDescent="0.3">
      <c r="A51" s="605" t="s">
        <v>39</v>
      </c>
      <c r="B51" s="606"/>
      <c r="C51" s="332">
        <f>IF(J33&gt;C33,C33,J33)</f>
        <v>3933.2904575440102</v>
      </c>
      <c r="D51" s="333">
        <f>VLOOKUP(A51,TAUX2023,3,FALSE)</f>
        <v>6.9000000000000006E-2</v>
      </c>
      <c r="E51" s="333">
        <f>VLOOKUP(A51,TAUX2023,4,FALSE)</f>
        <v>8.5500000000000007E-2</v>
      </c>
      <c r="F51" s="334">
        <f t="shared" si="1"/>
        <v>271.39999999999998</v>
      </c>
      <c r="G51" s="332">
        <f t="shared" si="2"/>
        <v>336.3</v>
      </c>
    </row>
    <row r="52" spans="1:16" ht="20.25" customHeight="1" x14ac:dyDescent="0.3">
      <c r="A52" s="605" t="s">
        <v>40</v>
      </c>
      <c r="B52" s="606"/>
      <c r="C52" s="332">
        <f>J33</f>
        <v>3933.2904575440102</v>
      </c>
      <c r="D52" s="333">
        <f>VLOOKUP(A52,TAUX2023,3,FALSE)</f>
        <v>4.0000000000000001E-3</v>
      </c>
      <c r="E52" s="333">
        <f>VLOOKUP(A52,TAUX2023,4,FALSE)</f>
        <v>2.1100000000000001E-2</v>
      </c>
      <c r="F52" s="334">
        <f t="shared" si="1"/>
        <v>15.73</v>
      </c>
      <c r="G52" s="332">
        <f t="shared" si="2"/>
        <v>82.99</v>
      </c>
    </row>
    <row r="53" spans="1:16" ht="20.25" customHeight="1" x14ac:dyDescent="0.3">
      <c r="A53" s="605" t="s">
        <v>41</v>
      </c>
      <c r="B53" s="606"/>
      <c r="C53" s="332">
        <f>IF(J33&gt;C33,C33,J33)</f>
        <v>3933.2904575440102</v>
      </c>
      <c r="D53" s="340">
        <f>IF(J33&gt;C33,'TABLE DES TAUX 2026'!D73,'TABLE DES TAUX 2026'!B73)</f>
        <v>4.0099999999999997E-2</v>
      </c>
      <c r="E53" s="340">
        <f>IF(J33&gt;C33,'TABLE DES TAUX 2026'!E73,'TABLE DES TAUX 2026'!C73)</f>
        <v>6.0100000000000001E-2</v>
      </c>
      <c r="F53" s="334">
        <f t="shared" si="1"/>
        <v>157.72</v>
      </c>
      <c r="G53" s="332">
        <f t="shared" si="2"/>
        <v>236.39</v>
      </c>
      <c r="H53" s="232"/>
      <c r="I53" s="474"/>
      <c r="J53" s="234"/>
      <c r="K53" s="234"/>
      <c r="L53" s="722"/>
      <c r="M53" s="722"/>
      <c r="N53" s="722"/>
    </row>
    <row r="54" spans="1:16" ht="20.25" customHeight="1" x14ac:dyDescent="0.3">
      <c r="A54" s="605" t="s">
        <v>42</v>
      </c>
      <c r="B54" s="606"/>
      <c r="C54" s="341">
        <f>IF(J33&gt;C33,IF(J33&gt;8*C33,7*C33,J33-C33),0)</f>
        <v>0</v>
      </c>
      <c r="D54" s="340">
        <f>IF(J33&gt;C33,'TABLE DES TAUX 2026'!D79,0)</f>
        <v>0</v>
      </c>
      <c r="E54" s="342">
        <f>IF(J33&gt;C33,'TABLE DES TAUX 2026'!E79,0)</f>
        <v>0</v>
      </c>
      <c r="F54" s="334">
        <f t="shared" si="1"/>
        <v>0</v>
      </c>
      <c r="G54" s="332">
        <f t="shared" si="2"/>
        <v>0</v>
      </c>
      <c r="H54" s="232"/>
      <c r="I54" s="233"/>
      <c r="J54" s="234"/>
      <c r="K54" s="234"/>
      <c r="L54" s="723"/>
      <c r="M54" s="723"/>
      <c r="N54" s="236"/>
      <c r="O54" s="237"/>
      <c r="P54" s="236"/>
    </row>
    <row r="55" spans="1:16" ht="41.25" hidden="1" customHeight="1" x14ac:dyDescent="0.3">
      <c r="A55" s="724"/>
      <c r="B55" s="725"/>
      <c r="C55" s="332"/>
      <c r="D55" s="342"/>
      <c r="E55" s="342">
        <f>IF(I33&gt;B32,'TABLE DES TAUX 2026'!E78,0)</f>
        <v>0</v>
      </c>
      <c r="F55" s="334">
        <f t="shared" si="1"/>
        <v>0</v>
      </c>
      <c r="G55" s="332">
        <f t="shared" si="2"/>
        <v>0</v>
      </c>
      <c r="H55" s="232"/>
      <c r="I55" s="233"/>
      <c r="J55" s="234"/>
      <c r="K55" s="234"/>
      <c r="L55" s="235"/>
      <c r="M55" s="235"/>
      <c r="N55" s="236"/>
      <c r="O55" s="237"/>
      <c r="P55" s="236"/>
    </row>
    <row r="56" spans="1:16" ht="41.25" hidden="1" customHeight="1" x14ac:dyDescent="0.3">
      <c r="A56" s="724"/>
      <c r="B56" s="725"/>
      <c r="C56" s="332"/>
      <c r="D56" s="342"/>
      <c r="E56" s="342">
        <f>IF(I34&gt;B33,'TABLE DES TAUX 2026'!E79,0)</f>
        <v>0</v>
      </c>
      <c r="F56" s="334">
        <f t="shared" si="1"/>
        <v>0</v>
      </c>
      <c r="G56" s="332">
        <f t="shared" si="2"/>
        <v>0</v>
      </c>
      <c r="H56" s="232"/>
      <c r="I56" s="233"/>
      <c r="J56" s="234"/>
      <c r="K56" s="234"/>
      <c r="L56" s="235"/>
      <c r="M56" s="235"/>
      <c r="N56" s="236"/>
      <c r="O56" s="237"/>
      <c r="P56" s="236"/>
    </row>
    <row r="57" spans="1:16" ht="26.25" customHeight="1" x14ac:dyDescent="0.3">
      <c r="A57" s="707" t="s">
        <v>43</v>
      </c>
      <c r="B57" s="708"/>
      <c r="C57" s="332"/>
      <c r="D57" s="333"/>
      <c r="E57" s="342"/>
      <c r="F57" s="334"/>
      <c r="G57" s="332"/>
      <c r="H57" s="232"/>
      <c r="I57" s="726"/>
      <c r="J57" s="726"/>
      <c r="L57" s="721"/>
      <c r="M57" s="721"/>
      <c r="O57" s="239"/>
      <c r="P57" s="230"/>
    </row>
    <row r="58" spans="1:16" ht="18" customHeight="1" x14ac:dyDescent="0.3">
      <c r="A58" s="605" t="s">
        <v>456</v>
      </c>
      <c r="B58" s="606"/>
      <c r="C58" s="332">
        <f>J33</f>
        <v>3933.2904575440102</v>
      </c>
      <c r="D58" s="333"/>
      <c r="E58" s="311">
        <f>VLOOKUP(A58,TAUX2023,4,FALSE)</f>
        <v>5.2499999999999998E-2</v>
      </c>
      <c r="F58" s="334"/>
      <c r="G58" s="332">
        <f t="shared" si="2"/>
        <v>206.5</v>
      </c>
      <c r="H58" s="232"/>
      <c r="I58" s="273"/>
      <c r="J58" s="273"/>
      <c r="L58" s="238"/>
      <c r="M58" s="238"/>
      <c r="O58" s="239"/>
      <c r="P58" s="230"/>
    </row>
    <row r="59" spans="1:16" ht="18" customHeight="1" x14ac:dyDescent="0.3">
      <c r="A59" s="605"/>
      <c r="B59" s="606"/>
      <c r="C59" s="332"/>
      <c r="D59" s="333"/>
      <c r="E59" s="311"/>
      <c r="F59" s="334"/>
      <c r="G59" s="332"/>
      <c r="H59" s="232"/>
      <c r="I59" s="25"/>
      <c r="J59" s="273"/>
      <c r="L59" s="238"/>
      <c r="M59" s="238"/>
      <c r="O59" s="239"/>
      <c r="P59" s="230"/>
    </row>
    <row r="60" spans="1:16" ht="18" customHeight="1" x14ac:dyDescent="0.3">
      <c r="A60" s="707" t="s">
        <v>44</v>
      </c>
      <c r="B60" s="708"/>
      <c r="C60" s="336"/>
      <c r="D60" s="343"/>
      <c r="E60" s="342"/>
      <c r="F60" s="334"/>
      <c r="G60" s="332"/>
      <c r="H60" s="240"/>
      <c r="I60" s="25"/>
      <c r="J60" s="273"/>
      <c r="L60" s="721"/>
      <c r="M60" s="721"/>
      <c r="N60" s="241"/>
      <c r="P60" s="27">
        <f>'[1]TABLE DES TAUX 2019'!C12+'[1]TABLE DES TAUX 2019'!C14+'[1]TABLE DES TAUX 2019'!C35+'[1]TABLE DES TAUX 2019'!C37</f>
        <v>1.546</v>
      </c>
    </row>
    <row r="61" spans="1:16" ht="21" customHeight="1" x14ac:dyDescent="0.3">
      <c r="A61" s="605" t="s">
        <v>235</v>
      </c>
      <c r="B61" s="606"/>
      <c r="C61" s="337">
        <f>IF(J33&gt;C33,IF(J33&gt;4*C33,4*C33,J33),J33)</f>
        <v>3933.2904575440102</v>
      </c>
      <c r="D61" s="342"/>
      <c r="E61" s="344">
        <f>'TABLE DES TAUX 2026'!D13+'TABLE DES TAUX 2026'!D14</f>
        <v>4.2500000000000003E-2</v>
      </c>
      <c r="F61" s="334"/>
      <c r="G61" s="332">
        <f t="shared" si="2"/>
        <v>167.16</v>
      </c>
      <c r="H61" s="240"/>
      <c r="I61" s="25"/>
      <c r="J61" s="273"/>
      <c r="L61" s="238"/>
      <c r="M61" s="238"/>
      <c r="N61" s="241"/>
    </row>
    <row r="62" spans="1:16" ht="41.25" hidden="1" customHeight="1" x14ac:dyDescent="0.3">
      <c r="A62" s="605"/>
      <c r="B62" s="606"/>
      <c r="C62" s="337"/>
      <c r="D62" s="342"/>
      <c r="E62" s="344"/>
      <c r="F62" s="334">
        <f t="shared" si="1"/>
        <v>0</v>
      </c>
      <c r="G62" s="332">
        <f t="shared" si="2"/>
        <v>0</v>
      </c>
      <c r="H62" s="240"/>
      <c r="I62" s="25"/>
      <c r="J62" s="273"/>
      <c r="L62" s="238"/>
      <c r="M62" s="238"/>
      <c r="N62" s="241"/>
    </row>
    <row r="63" spans="1:16" ht="23.25" hidden="1" customHeight="1" x14ac:dyDescent="0.3">
      <c r="A63" s="605" t="s">
        <v>271</v>
      </c>
      <c r="B63" s="606"/>
      <c r="C63" s="337">
        <f>IF(I9=2,C61,0)</f>
        <v>0</v>
      </c>
      <c r="D63" s="345">
        <f>VLOOKUP(A63,TAUX2023,3,FALSE)</f>
        <v>2.4000000000000001E-4</v>
      </c>
      <c r="E63" s="345">
        <f>VLOOKUP(A63,TAUX2023,4,FALSE)</f>
        <v>3.6000000000000002E-4</v>
      </c>
      <c r="F63" s="334">
        <f t="shared" si="1"/>
        <v>0</v>
      </c>
      <c r="G63" s="332">
        <f t="shared" si="2"/>
        <v>0</v>
      </c>
      <c r="H63" s="240"/>
      <c r="J63" s="45"/>
      <c r="L63" s="238"/>
      <c r="M63" s="238"/>
      <c r="N63" s="241"/>
    </row>
    <row r="64" spans="1:16" ht="31.5" customHeight="1" x14ac:dyDescent="0.3">
      <c r="A64" s="707" t="s">
        <v>45</v>
      </c>
      <c r="B64" s="708"/>
      <c r="C64" s="332"/>
      <c r="D64" s="332"/>
      <c r="E64" s="346"/>
      <c r="F64" s="334"/>
      <c r="G64" s="332">
        <f>E133</f>
        <v>254.34000000000003</v>
      </c>
      <c r="L64" s="721"/>
      <c r="M64" s="721"/>
      <c r="N64" s="232"/>
    </row>
    <row r="65" spans="1:11" ht="41.25" hidden="1" customHeight="1" x14ac:dyDescent="0.3">
      <c r="A65" s="759" t="s">
        <v>47</v>
      </c>
      <c r="B65" s="760"/>
      <c r="C65" s="347"/>
      <c r="D65" s="348"/>
      <c r="E65" s="349"/>
      <c r="F65" s="334"/>
      <c r="G65" s="332"/>
      <c r="I65" s="25"/>
      <c r="J65" s="273"/>
    </row>
    <row r="66" spans="1:11" ht="18.75" customHeight="1" x14ac:dyDescent="0.3">
      <c r="A66" s="753" t="s">
        <v>48</v>
      </c>
      <c r="B66" s="753"/>
      <c r="C66" s="341">
        <f>'HEURES SUPPLEMENTAIRES '!F136</f>
        <v>4021.7978745369905</v>
      </c>
      <c r="D66" s="350">
        <f>VLOOKUP(A66,TAUX2023,3,FALSE)</f>
        <v>6.8000000000000005E-2</v>
      </c>
      <c r="E66" s="332"/>
      <c r="F66" s="334">
        <f t="shared" si="1"/>
        <v>273.48</v>
      </c>
      <c r="G66" s="332"/>
      <c r="I66" s="25"/>
      <c r="J66" s="273"/>
    </row>
    <row r="67" spans="1:11" ht="24" customHeight="1" x14ac:dyDescent="0.3">
      <c r="A67" s="753" t="s">
        <v>49</v>
      </c>
      <c r="B67" s="753"/>
      <c r="C67" s="341">
        <f>C66</f>
        <v>4021.7978745369905</v>
      </c>
      <c r="D67" s="350">
        <f>VLOOKUP(A67,TAUX2023,3,FALSE)</f>
        <v>2.9000000000000001E-2</v>
      </c>
      <c r="E67" s="332"/>
      <c r="F67" s="334">
        <f t="shared" si="1"/>
        <v>116.63</v>
      </c>
      <c r="G67" s="332"/>
      <c r="I67" s="25"/>
      <c r="J67" s="273"/>
      <c r="K67" s="230"/>
    </row>
    <row r="68" spans="1:11" ht="21.75" hidden="1" customHeight="1" x14ac:dyDescent="0.3">
      <c r="A68" s="753" t="s">
        <v>238</v>
      </c>
      <c r="B68" s="753"/>
      <c r="C68" s="341">
        <f>'HEURES SUPPLEMENTAIRES '!F137</f>
        <v>0</v>
      </c>
      <c r="D68" s="350">
        <f>D66</f>
        <v>6.8000000000000005E-2</v>
      </c>
      <c r="E68" s="332"/>
      <c r="F68" s="334">
        <f t="shared" si="1"/>
        <v>0</v>
      </c>
      <c r="G68" s="332"/>
      <c r="J68" s="230"/>
      <c r="K68" s="230"/>
    </row>
    <row r="69" spans="1:11" ht="19.5" hidden="1" customHeight="1" x14ac:dyDescent="0.3">
      <c r="A69" s="753" t="s">
        <v>239</v>
      </c>
      <c r="B69" s="753"/>
      <c r="C69" s="341">
        <f>'HEURES SUPPLEMENTAIRES '!F138</f>
        <v>0</v>
      </c>
      <c r="D69" s="350">
        <f>D66</f>
        <v>6.8000000000000005E-2</v>
      </c>
      <c r="E69" s="332"/>
      <c r="F69" s="334">
        <f t="shared" si="1"/>
        <v>0</v>
      </c>
      <c r="G69" s="332"/>
      <c r="J69" s="230"/>
      <c r="K69" s="230"/>
    </row>
    <row r="70" spans="1:11" ht="29.25" hidden="1" customHeight="1" x14ac:dyDescent="0.3">
      <c r="A70" s="753" t="s">
        <v>240</v>
      </c>
      <c r="B70" s="753"/>
      <c r="C70" s="332">
        <f>+C68+C69</f>
        <v>0</v>
      </c>
      <c r="D70" s="350">
        <f>D67</f>
        <v>2.9000000000000001E-2</v>
      </c>
      <c r="E70" s="332"/>
      <c r="F70" s="334">
        <f t="shared" si="1"/>
        <v>0</v>
      </c>
      <c r="G70" s="332"/>
      <c r="J70" s="230"/>
      <c r="K70" s="230"/>
    </row>
    <row r="71" spans="1:11" ht="26.25" customHeight="1" x14ac:dyDescent="0.3">
      <c r="A71" s="707" t="s">
        <v>274</v>
      </c>
      <c r="B71" s="708"/>
      <c r="C71" s="351"/>
      <c r="D71" s="351"/>
      <c r="E71" s="352"/>
      <c r="F71" s="334">
        <f t="shared" si="1"/>
        <v>0</v>
      </c>
      <c r="G71" s="312">
        <f>IF(B9&lt;20,-(G20+G22+G21)*1.5,-(G20+G21+G22)*0.5)-'MATRICE RGDU 2'!C45</f>
        <v>-164.8</v>
      </c>
      <c r="J71" s="230"/>
      <c r="K71" s="230"/>
    </row>
    <row r="72" spans="1:11" ht="27" hidden="1" customHeight="1" x14ac:dyDescent="0.3">
      <c r="A72" s="605" t="s">
        <v>53</v>
      </c>
      <c r="B72" s="606"/>
      <c r="C72" s="332">
        <f>'HEURES SUPPLEMENTAIRES '!E57</f>
        <v>0</v>
      </c>
      <c r="D72" s="353">
        <f>+'HEURES SUPPLEMENTAIRES '!D57</f>
        <v>0.11310000000000001</v>
      </c>
      <c r="E72" s="354"/>
      <c r="F72" s="334">
        <f>-ROUND(C72*D72,2)</f>
        <v>0</v>
      </c>
      <c r="G72" s="355"/>
      <c r="J72" s="230"/>
      <c r="K72" s="230"/>
    </row>
    <row r="73" spans="1:11" ht="21.75" customHeight="1" x14ac:dyDescent="0.3">
      <c r="A73" s="605" t="s">
        <v>54</v>
      </c>
      <c r="B73" s="606"/>
      <c r="C73" s="332"/>
      <c r="D73" s="332"/>
      <c r="E73" s="346"/>
      <c r="F73" s="356">
        <f>SUM(F37:F72)</f>
        <v>893.96</v>
      </c>
      <c r="G73" s="357">
        <f>SUM(G37:G72)</f>
        <v>1767.8799999999999</v>
      </c>
      <c r="I73" s="230"/>
      <c r="J73" s="230"/>
    </row>
    <row r="74" spans="1:11" ht="30.75" customHeight="1" x14ac:dyDescent="0.3">
      <c r="A74" s="727" t="s">
        <v>246</v>
      </c>
      <c r="B74" s="728"/>
      <c r="C74" s="332"/>
      <c r="D74" s="332"/>
      <c r="E74" s="346"/>
      <c r="F74" s="346"/>
      <c r="G74" s="332"/>
      <c r="H74" s="230"/>
      <c r="I74" s="230"/>
    </row>
    <row r="75" spans="1:11" ht="30.75" customHeight="1" x14ac:dyDescent="0.3">
      <c r="A75" s="580" t="s">
        <v>247</v>
      </c>
      <c r="B75" s="753"/>
      <c r="C75" s="332">
        <f>IF(I9=1,J33,0)</f>
        <v>3933.2904575440102</v>
      </c>
      <c r="D75" s="350">
        <f>'MASQUE DE SAISIE '!G13</f>
        <v>0.01</v>
      </c>
      <c r="E75" s="350">
        <f>'MASQUE DE SAISIE '!H13</f>
        <v>0.02</v>
      </c>
      <c r="F75" s="346">
        <f>ROUND(C75*D75,2)</f>
        <v>39.33</v>
      </c>
      <c r="G75" s="215">
        <f>ROUND(C75*E75,2)</f>
        <v>78.67</v>
      </c>
      <c r="I75" s="230"/>
    </row>
    <row r="76" spans="1:11" ht="30.75" hidden="1" customHeight="1" x14ac:dyDescent="0.3">
      <c r="A76" s="580" t="s">
        <v>248</v>
      </c>
      <c r="B76" s="753"/>
      <c r="C76" s="332">
        <f>IF(I9=2,J33,0)</f>
        <v>0</v>
      </c>
      <c r="D76" s="350">
        <f>'MASQUE DE SAISIE '!G16</f>
        <v>0</v>
      </c>
      <c r="E76" s="350">
        <f>'MASQUE DE SAISIE '!H16</f>
        <v>0</v>
      </c>
      <c r="F76" s="346">
        <f t="shared" ref="F76:F78" si="3">ROUND(C76*D76,2)</f>
        <v>0</v>
      </c>
      <c r="G76" s="215">
        <f t="shared" ref="G76:G79" si="4">ROUND(C76*E76,2)</f>
        <v>0</v>
      </c>
      <c r="I76" s="243"/>
      <c r="J76" s="244"/>
      <c r="K76" s="243"/>
    </row>
    <row r="77" spans="1:11" ht="30.75" hidden="1" customHeight="1" x14ac:dyDescent="0.3">
      <c r="A77" s="600" t="s">
        <v>198</v>
      </c>
      <c r="B77" s="600"/>
      <c r="C77" s="332">
        <f>IF(I9=2,IF(E76=0,IF(J33&gt;C33,C33,J33),0),0)</f>
        <v>0</v>
      </c>
      <c r="D77" s="333"/>
      <c r="E77" s="333">
        <f>VLOOKUP(A77,TAUX2023,4,FALSE)</f>
        <v>1.4999999999999999E-2</v>
      </c>
      <c r="F77" s="346">
        <f t="shared" si="3"/>
        <v>0</v>
      </c>
      <c r="G77" s="215">
        <f t="shared" si="4"/>
        <v>0</v>
      </c>
      <c r="I77" s="243"/>
      <c r="J77" s="244"/>
      <c r="K77" s="243"/>
    </row>
    <row r="78" spans="1:11" ht="30.75" hidden="1" customHeight="1" x14ac:dyDescent="0.3">
      <c r="A78" s="600" t="s">
        <v>407</v>
      </c>
      <c r="B78" s="600"/>
      <c r="C78" s="332">
        <f>J33</f>
        <v>3933.2904575440102</v>
      </c>
      <c r="D78" s="350">
        <f>'MASQUE DE SAISIE '!G17</f>
        <v>0</v>
      </c>
      <c r="E78" s="350"/>
      <c r="F78" s="346">
        <f t="shared" si="3"/>
        <v>0</v>
      </c>
      <c r="G78" s="215">
        <f t="shared" si="4"/>
        <v>0</v>
      </c>
      <c r="K78" s="230"/>
    </row>
    <row r="79" spans="1:11" ht="22.5" customHeight="1" x14ac:dyDescent="0.3">
      <c r="A79" s="580" t="s">
        <v>404</v>
      </c>
      <c r="B79" s="753"/>
      <c r="C79" s="332">
        <f>C75</f>
        <v>3933.2904575440102</v>
      </c>
      <c r="D79" s="350"/>
      <c r="E79" s="350">
        <f>'MASQUE DE SAISIE '!H14</f>
        <v>3.0000000000000001E-3</v>
      </c>
      <c r="F79" s="27"/>
      <c r="G79" s="215">
        <f t="shared" si="4"/>
        <v>11.8</v>
      </c>
      <c r="K79" s="230"/>
    </row>
    <row r="80" spans="1:11" ht="21" customHeight="1" x14ac:dyDescent="0.3">
      <c r="A80" s="754" t="s">
        <v>222</v>
      </c>
      <c r="B80" s="755"/>
      <c r="C80" s="336"/>
      <c r="D80" s="343"/>
      <c r="E80" s="343"/>
      <c r="F80" s="476">
        <f>J33-F73-F75-F76-F79</f>
        <v>3000.0004575440103</v>
      </c>
      <c r="G80" s="336"/>
      <c r="I80" s="520"/>
      <c r="J80" s="230"/>
      <c r="K80" s="230"/>
    </row>
    <row r="81" spans="1:14" ht="21" customHeight="1" x14ac:dyDescent="0.3">
      <c r="A81" s="606" t="s">
        <v>249</v>
      </c>
      <c r="B81" s="653"/>
      <c r="C81" s="336"/>
      <c r="D81" s="343"/>
      <c r="E81" s="343">
        <f>-'MASQUE DE SAISIE '!E48*'MASQUE DE SAISIE '!E47</f>
        <v>-132</v>
      </c>
      <c r="F81" s="336"/>
      <c r="G81" s="336">
        <f>'MASQUE DE SAISIE '!E49*'MASQUE DE SAISIE '!E47</f>
        <v>132</v>
      </c>
      <c r="J81" s="520"/>
      <c r="K81" s="230"/>
    </row>
    <row r="82" spans="1:14" ht="21" customHeight="1" x14ac:dyDescent="0.3">
      <c r="A82" s="606" t="s">
        <v>250</v>
      </c>
      <c r="B82" s="653"/>
      <c r="C82" s="336"/>
      <c r="D82" s="343"/>
      <c r="E82" s="343">
        <f>-'MASQUE DE SAISIE '!E50</f>
        <v>-45.4</v>
      </c>
      <c r="F82" s="425"/>
      <c r="G82" s="347"/>
      <c r="K82" s="230"/>
    </row>
    <row r="83" spans="1:14" ht="21" customHeight="1" x14ac:dyDescent="0.3">
      <c r="A83" s="572" t="s">
        <v>272</v>
      </c>
      <c r="B83" s="573"/>
      <c r="C83" s="306"/>
      <c r="D83" s="307"/>
      <c r="E83" s="307"/>
      <c r="F83" s="308"/>
      <c r="G83" s="308"/>
      <c r="K83" s="230"/>
    </row>
    <row r="84" spans="1:14" customFormat="1" ht="21" customHeight="1" x14ac:dyDescent="0.3">
      <c r="A84" s="747" t="s">
        <v>64</v>
      </c>
      <c r="B84" s="747"/>
      <c r="C84" s="747"/>
      <c r="D84" s="747"/>
      <c r="E84" s="747"/>
      <c r="F84" s="747"/>
      <c r="G84" s="747"/>
      <c r="H84" s="747"/>
      <c r="I84" s="747"/>
      <c r="J84" s="506">
        <f>J33-F73-F75+E81+E82</f>
        <v>2822.6004575440102</v>
      </c>
      <c r="K84" s="27"/>
      <c r="M84" s="745"/>
      <c r="N84" s="746"/>
    </row>
    <row r="85" spans="1:14" customFormat="1" ht="18" customHeight="1" x14ac:dyDescent="0.3">
      <c r="A85" s="747" t="s">
        <v>223</v>
      </c>
      <c r="B85" s="747"/>
      <c r="C85" s="747"/>
      <c r="D85" s="747"/>
      <c r="E85" s="747"/>
      <c r="F85" s="747"/>
      <c r="G85" s="747"/>
      <c r="H85" s="747"/>
      <c r="I85" s="747"/>
      <c r="J85" s="506">
        <f>'HEURES SUPPLEMENTAIRES '!E87+'HEURES SUPPLEMENTAIRES '!E90-'BP FORMAT JUILLET 2023'!F73-'BP FORMAT JUILLET 2023'!F75-'BP FORMAT JUILLET 2023'!F76+'BP FORMAT JUILLET 2023'!F67+'BP FORMAT JUILLET 2023'!F68+'BP FORMAT JUILLET 2023'!F70+'BP FORMAT JUILLET 2023'!G43+G40-F78-F77</f>
        <v>3195.3004575440104</v>
      </c>
      <c r="K85" s="27"/>
      <c r="M85" s="745"/>
      <c r="N85" s="746"/>
    </row>
    <row r="86" spans="1:14" customFormat="1" ht="23.25" customHeight="1" x14ac:dyDescent="0.3">
      <c r="A86" s="748" t="s">
        <v>224</v>
      </c>
      <c r="B86" s="748"/>
      <c r="C86" s="748"/>
      <c r="D86" s="748"/>
      <c r="E86" s="748"/>
      <c r="F86" s="748"/>
      <c r="G86" s="748"/>
      <c r="H86" s="748"/>
      <c r="I86" s="748"/>
      <c r="J86" s="506">
        <f>'HEURES SUPPLEMENTAIRES '!E57-F68</f>
        <v>0</v>
      </c>
      <c r="K86" s="27"/>
      <c r="M86" s="750"/>
      <c r="N86" s="750"/>
    </row>
    <row r="87" spans="1:14" customFormat="1" ht="23.25" customHeight="1" x14ac:dyDescent="0.3">
      <c r="A87" s="748" t="s">
        <v>294</v>
      </c>
      <c r="B87" s="748"/>
      <c r="C87" s="748"/>
      <c r="D87" s="748"/>
      <c r="E87" s="748"/>
      <c r="F87" s="748"/>
      <c r="G87" s="748"/>
      <c r="H87" s="748"/>
      <c r="I87" s="748"/>
      <c r="J87" s="27"/>
      <c r="K87" s="27"/>
      <c r="M87" s="505"/>
      <c r="N87" s="505"/>
    </row>
    <row r="88" spans="1:14" customFormat="1" ht="23.25" customHeight="1" x14ac:dyDescent="0.3">
      <c r="A88" s="711" t="s">
        <v>225</v>
      </c>
      <c r="B88" s="712"/>
      <c r="C88" s="713"/>
      <c r="D88" s="631" t="s">
        <v>59</v>
      </c>
      <c r="E88" s="631"/>
      <c r="F88" s="631" t="s">
        <v>66</v>
      </c>
      <c r="G88" s="631"/>
      <c r="H88" s="358" t="s">
        <v>60</v>
      </c>
      <c r="I88" s="69"/>
      <c r="J88" s="27"/>
      <c r="K88" s="27"/>
      <c r="M88" s="749" t="s">
        <v>293</v>
      </c>
      <c r="N88" s="749"/>
    </row>
    <row r="89" spans="1:14" customFormat="1" ht="20.25" customHeight="1" x14ac:dyDescent="0.3">
      <c r="A89" s="714"/>
      <c r="B89" s="715"/>
      <c r="C89" s="716"/>
      <c r="D89" s="717">
        <f>J85</f>
        <v>3195.3004575440104</v>
      </c>
      <c r="E89" s="718"/>
      <c r="F89" s="719">
        <f>'TAUX NEUTRE '!H12</f>
        <v>9.9000000000000005E-2</v>
      </c>
      <c r="G89" s="720"/>
      <c r="H89" s="359">
        <f>ROUND(D89*F89,2)</f>
        <v>316.33</v>
      </c>
      <c r="I89" s="69"/>
      <c r="J89" s="27"/>
      <c r="K89" s="27"/>
      <c r="M89" s="62"/>
      <c r="N89" s="62"/>
    </row>
    <row r="90" spans="1:14" customFormat="1" x14ac:dyDescent="0.3">
      <c r="A90" s="756" t="s">
        <v>273</v>
      </c>
      <c r="B90" s="756"/>
      <c r="C90" s="756"/>
      <c r="D90" s="756"/>
      <c r="E90" s="756"/>
      <c r="F90" s="756"/>
      <c r="G90" s="756"/>
      <c r="H90" s="756"/>
      <c r="I90" s="756"/>
      <c r="J90" s="506">
        <f>J84-H89</f>
        <v>2506.2704575440102</v>
      </c>
      <c r="K90" s="27"/>
      <c r="M90" s="751"/>
      <c r="N90" s="752"/>
    </row>
    <row r="91" spans="1:14" customFormat="1" x14ac:dyDescent="0.3">
      <c r="A91" s="756" t="s">
        <v>57</v>
      </c>
      <c r="B91" s="756"/>
      <c r="C91" s="756"/>
      <c r="D91" s="756"/>
      <c r="E91" s="756"/>
      <c r="F91" s="756"/>
      <c r="G91" s="756"/>
      <c r="H91" s="756"/>
      <c r="I91" s="756"/>
      <c r="J91" s="506">
        <f>G73+J33+G75+G76+G77+G78</f>
        <v>5779.84045754401</v>
      </c>
      <c r="K91" s="27"/>
      <c r="M91" s="751"/>
      <c r="N91" s="757"/>
    </row>
    <row r="92" spans="1:14" customFormat="1" ht="15" x14ac:dyDescent="0.25">
      <c r="A92" s="66"/>
      <c r="B92" s="74" t="s">
        <v>63</v>
      </c>
      <c r="C92" s="74" t="s">
        <v>275</v>
      </c>
      <c r="D92" s="743" t="s">
        <v>277</v>
      </c>
      <c r="E92" s="744"/>
      <c r="F92" s="743" t="s">
        <v>278</v>
      </c>
      <c r="G92" s="744"/>
      <c r="H92" s="360"/>
      <c r="I92" s="360"/>
      <c r="J92" s="183"/>
      <c r="K92" s="361"/>
    </row>
    <row r="93" spans="1:14" customFormat="1" ht="21" customHeight="1" x14ac:dyDescent="0.25">
      <c r="A93" s="362" t="s">
        <v>276</v>
      </c>
      <c r="B93" s="70">
        <f>H89</f>
        <v>316.33</v>
      </c>
      <c r="C93" s="70">
        <f>+B93</f>
        <v>316.33</v>
      </c>
      <c r="D93" s="74" t="s">
        <v>101</v>
      </c>
      <c r="E93" s="70">
        <v>30</v>
      </c>
      <c r="F93" s="74" t="s">
        <v>288</v>
      </c>
      <c r="G93" s="70">
        <f>2.5*7</f>
        <v>17.5</v>
      </c>
      <c r="H93" s="74"/>
      <c r="I93" s="360"/>
      <c r="J93" s="183"/>
      <c r="K93" s="361"/>
    </row>
    <row r="94" spans="1:14" customFormat="1" ht="21" customHeight="1" x14ac:dyDescent="0.25">
      <c r="A94" s="363" t="s">
        <v>280</v>
      </c>
      <c r="B94" s="365">
        <f>C72</f>
        <v>0</v>
      </c>
      <c r="C94" s="365">
        <f>+B94</f>
        <v>0</v>
      </c>
      <c r="D94" s="74" t="s">
        <v>95</v>
      </c>
      <c r="E94" s="70">
        <v>28</v>
      </c>
      <c r="F94" s="74" t="s">
        <v>237</v>
      </c>
      <c r="G94" s="70">
        <v>2.5</v>
      </c>
      <c r="H94" s="360"/>
      <c r="I94" s="360"/>
      <c r="J94" s="183"/>
      <c r="K94" s="361"/>
    </row>
    <row r="95" spans="1:14" customFormat="1" ht="17.25" customHeight="1" x14ac:dyDescent="0.25">
      <c r="A95" s="364" t="s">
        <v>179</v>
      </c>
      <c r="B95" s="365">
        <f>J33</f>
        <v>3933.2904575440102</v>
      </c>
      <c r="C95" s="365">
        <f>+B95</f>
        <v>3933.2904575440102</v>
      </c>
      <c r="D95" s="74" t="s">
        <v>236</v>
      </c>
      <c r="E95" s="70">
        <v>2</v>
      </c>
      <c r="F95" s="74" t="s">
        <v>236</v>
      </c>
      <c r="G95" s="70">
        <f>+G93+G94</f>
        <v>20</v>
      </c>
      <c r="H95" s="360"/>
      <c r="I95" s="360"/>
      <c r="J95" s="183"/>
      <c r="K95" s="361"/>
    </row>
    <row r="96" spans="1:14" customFormat="1" ht="17.25" customHeight="1" x14ac:dyDescent="0.25">
      <c r="A96" s="364" t="s">
        <v>61</v>
      </c>
      <c r="B96" s="365">
        <f>+M85</f>
        <v>0</v>
      </c>
      <c r="C96" s="365">
        <f>+B96</f>
        <v>0</v>
      </c>
      <c r="D96" s="360"/>
      <c r="E96" s="360"/>
      <c r="F96" s="360"/>
      <c r="G96" s="360"/>
      <c r="H96" s="360"/>
      <c r="I96" s="360"/>
      <c r="J96" s="183"/>
      <c r="K96" s="361"/>
    </row>
    <row r="97" spans="1:11" customFormat="1" ht="15" customHeight="1" x14ac:dyDescent="0.25">
      <c r="A97" s="623" t="s">
        <v>58</v>
      </c>
      <c r="B97" s="623"/>
      <c r="C97" s="623"/>
      <c r="D97" s="623"/>
      <c r="E97" s="623"/>
      <c r="F97" s="25"/>
      <c r="G97" s="25"/>
      <c r="H97" s="25"/>
      <c r="I97" s="25"/>
      <c r="J97" s="25"/>
      <c r="K97" s="25"/>
    </row>
    <row r="98" spans="1:11" s="25" customFormat="1" ht="12" customHeight="1" x14ac:dyDescent="0.25">
      <c r="A98" s="46" t="s">
        <v>62</v>
      </c>
    </row>
    <row r="99" spans="1:11" s="25" customFormat="1" ht="12" customHeight="1" x14ac:dyDescent="0.25">
      <c r="A99" s="25" t="s">
        <v>295</v>
      </c>
    </row>
    <row r="100" spans="1:11" s="25" customFormat="1" ht="12" hidden="1" customHeight="1" x14ac:dyDescent="0.25">
      <c r="A100" s="46"/>
    </row>
    <row r="101" spans="1:11" s="25" customFormat="1" ht="12" hidden="1" customHeight="1" x14ac:dyDescent="0.3">
      <c r="A101" s="248" t="s">
        <v>91</v>
      </c>
      <c r="B101" s="249"/>
      <c r="C101" s="250">
        <v>7.4999999999999997E-3</v>
      </c>
      <c r="D101" s="242">
        <f>ROUND(J33*C101,2)</f>
        <v>29.5</v>
      </c>
      <c r="E101" s="229"/>
      <c r="F101" s="251"/>
      <c r="G101" s="228"/>
      <c r="H101" s="27"/>
      <c r="I101" s="27"/>
    </row>
    <row r="102" spans="1:11" ht="30.75" hidden="1" customHeight="1" x14ac:dyDescent="0.3">
      <c r="A102" s="248" t="s">
        <v>92</v>
      </c>
      <c r="B102" s="249"/>
      <c r="C102" s="252">
        <f>(2.4-0.95)%</f>
        <v>1.4499999999999999E-2</v>
      </c>
      <c r="D102" s="242">
        <f>ROUND(C61*C102,2)</f>
        <v>57.03</v>
      </c>
      <c r="F102" s="247"/>
    </row>
    <row r="103" spans="1:11" ht="30.75" hidden="1" customHeight="1" x14ac:dyDescent="0.3">
      <c r="A103" s="253" t="s">
        <v>241</v>
      </c>
      <c r="B103" s="249"/>
      <c r="D103" s="229">
        <f>D101+D102</f>
        <v>86.53</v>
      </c>
      <c r="F103" s="247"/>
    </row>
    <row r="104" spans="1:11" ht="30.75" hidden="1" customHeight="1" x14ac:dyDescent="0.3">
      <c r="A104" s="248" t="s">
        <v>242</v>
      </c>
      <c r="C104" s="229"/>
      <c r="F104" s="254"/>
    </row>
    <row r="105" spans="1:11" ht="30.75" hidden="1" customHeight="1" x14ac:dyDescent="0.3">
      <c r="A105" s="248"/>
      <c r="C105" s="229"/>
      <c r="F105" s="254"/>
    </row>
    <row r="106" spans="1:11" ht="30.75" hidden="1" customHeight="1" x14ac:dyDescent="0.3">
      <c r="A106" s="248" t="s">
        <v>93</v>
      </c>
      <c r="B106" s="255"/>
      <c r="C106" s="242">
        <v>1.7000000000000001E-2</v>
      </c>
      <c r="D106" s="242">
        <f>ROUND(C66*C106,2)</f>
        <v>68.37</v>
      </c>
      <c r="F106" s="254"/>
    </row>
    <row r="107" spans="1:11" ht="30.75" hidden="1" customHeight="1" x14ac:dyDescent="0.3">
      <c r="A107" s="256"/>
      <c r="B107" s="257"/>
      <c r="C107" s="258"/>
      <c r="D107" s="258"/>
      <c r="E107" s="258"/>
      <c r="F107" s="259"/>
    </row>
    <row r="108" spans="1:11" ht="30.75" hidden="1" customHeight="1" x14ac:dyDescent="0.3">
      <c r="A108" s="260" t="s">
        <v>243</v>
      </c>
      <c r="B108" s="261"/>
      <c r="C108" s="262"/>
      <c r="D108" s="262"/>
      <c r="E108" s="262"/>
      <c r="F108" s="263"/>
    </row>
    <row r="109" spans="1:11" ht="30.75" hidden="1" customHeight="1" x14ac:dyDescent="0.3">
      <c r="A109" s="245"/>
      <c r="B109" s="246"/>
      <c r="C109" s="264"/>
      <c r="F109" s="265"/>
    </row>
    <row r="110" spans="1:11" ht="30.75" hidden="1" customHeight="1" x14ac:dyDescent="0.3">
      <c r="A110" s="248" t="s">
        <v>91</v>
      </c>
      <c r="B110" s="249"/>
      <c r="C110" s="250">
        <v>7.4999999999999997E-3</v>
      </c>
      <c r="D110" s="242">
        <f>ROUND(J33*C110,2)</f>
        <v>29.5</v>
      </c>
      <c r="E110" s="228"/>
      <c r="F110" s="247"/>
    </row>
    <row r="111" spans="1:11" ht="30.75" hidden="1" customHeight="1" x14ac:dyDescent="0.3">
      <c r="A111" s="248" t="s">
        <v>92</v>
      </c>
      <c r="B111" s="249"/>
      <c r="C111" s="252">
        <f>(2.4)%</f>
        <v>2.4E-2</v>
      </c>
      <c r="D111" s="242">
        <f>ROUND(C61*C111,2)</f>
        <v>94.4</v>
      </c>
      <c r="E111" s="266"/>
      <c r="F111" s="247"/>
    </row>
    <row r="112" spans="1:11" ht="30.75" hidden="1" customHeight="1" x14ac:dyDescent="0.3">
      <c r="A112" s="253" t="s">
        <v>244</v>
      </c>
      <c r="B112" s="249"/>
      <c r="E112" s="266"/>
      <c r="F112" s="247"/>
    </row>
    <row r="113" spans="1:17" ht="30.75" hidden="1" customHeight="1" x14ac:dyDescent="0.3">
      <c r="A113" s="248" t="s">
        <v>242</v>
      </c>
      <c r="C113" s="229"/>
      <c r="E113" s="267">
        <f>D111+D110-D115</f>
        <v>55.53</v>
      </c>
      <c r="F113" s="247"/>
    </row>
    <row r="114" spans="1:17" ht="30.75" hidden="1" customHeight="1" x14ac:dyDescent="0.3">
      <c r="A114" s="248"/>
      <c r="C114" s="229"/>
      <c r="E114" s="266"/>
      <c r="F114" s="247"/>
    </row>
    <row r="115" spans="1:17" ht="30.75" hidden="1" customHeight="1" x14ac:dyDescent="0.3">
      <c r="A115" s="248" t="s">
        <v>93</v>
      </c>
      <c r="B115" s="255"/>
      <c r="C115" s="242">
        <v>1.7000000000000001E-2</v>
      </c>
      <c r="D115" s="242">
        <f>ROUND(C66*C115,2)</f>
        <v>68.37</v>
      </c>
      <c r="F115" s="247"/>
    </row>
    <row r="116" spans="1:17" ht="30.75" hidden="1" customHeight="1" x14ac:dyDescent="0.3">
      <c r="A116" s="268"/>
      <c r="B116" s="269"/>
      <c r="C116" s="270"/>
      <c r="D116" s="270"/>
      <c r="E116" s="270"/>
      <c r="F116" s="271"/>
    </row>
    <row r="117" spans="1:17" ht="30.75" hidden="1" customHeight="1" x14ac:dyDescent="0.3">
      <c r="B117" s="249"/>
    </row>
    <row r="118" spans="1:17" ht="30.75" customHeight="1" x14ac:dyDescent="0.3">
      <c r="A118" s="28" t="s">
        <v>85</v>
      </c>
    </row>
    <row r="119" spans="1:17" ht="30.75" customHeight="1" x14ac:dyDescent="0.3">
      <c r="A119" s="40" t="s">
        <v>251</v>
      </c>
      <c r="B119" s="309" t="s">
        <v>252</v>
      </c>
      <c r="C119" s="309" t="s">
        <v>217</v>
      </c>
      <c r="D119" s="309" t="s">
        <v>253</v>
      </c>
      <c r="E119" s="309" t="s">
        <v>254</v>
      </c>
      <c r="F119" s="189"/>
      <c r="G119" s="28"/>
      <c r="H119" s="28"/>
      <c r="I119" s="28"/>
    </row>
    <row r="120" spans="1:17" customFormat="1" ht="15.75" x14ac:dyDescent="0.25">
      <c r="A120" s="191"/>
      <c r="B120" s="62"/>
      <c r="C120" s="199" t="s">
        <v>31</v>
      </c>
      <c r="D120" s="199" t="s">
        <v>279</v>
      </c>
      <c r="E120" s="199" t="s">
        <v>96</v>
      </c>
      <c r="H120" s="28"/>
      <c r="I120" s="28"/>
      <c r="J120" s="28"/>
      <c r="K120" s="28"/>
      <c r="L120" s="30"/>
      <c r="M120" s="30"/>
      <c r="N120" s="30"/>
      <c r="O120" s="30"/>
      <c r="P120" s="30"/>
      <c r="Q120" s="30"/>
    </row>
    <row r="121" spans="1:17" customFormat="1" x14ac:dyDescent="0.3">
      <c r="A121" s="231"/>
      <c r="B121" s="231"/>
      <c r="C121" s="228"/>
      <c r="D121" s="229"/>
      <c r="E121" s="47">
        <f t="shared" ref="E121:E127" si="5">ROUND(C121*D121,2)</f>
        <v>0</v>
      </c>
      <c r="H121" s="28"/>
      <c r="I121" s="28"/>
      <c r="J121" s="28"/>
      <c r="K121" s="28"/>
      <c r="L121" s="30"/>
      <c r="M121" s="30"/>
      <c r="N121" s="30"/>
      <c r="O121" s="30"/>
      <c r="P121" s="30"/>
      <c r="Q121" s="30"/>
    </row>
    <row r="122" spans="1:17" customFormat="1" ht="15.75" x14ac:dyDescent="0.25">
      <c r="A122" s="620" t="s">
        <v>88</v>
      </c>
      <c r="B122" s="621"/>
      <c r="C122" s="47">
        <f>IF(B9&lt;50,IF(J33&gt;C33,C33,J33),0)</f>
        <v>0</v>
      </c>
      <c r="D122" s="55">
        <f>'TABLE DES TAUX 2026'!D26</f>
        <v>1E-3</v>
      </c>
      <c r="E122" s="47">
        <f t="shared" si="5"/>
        <v>0</v>
      </c>
      <c r="H122" s="28"/>
      <c r="I122" s="28"/>
      <c r="J122" s="28"/>
      <c r="K122" s="28"/>
      <c r="L122" s="30"/>
      <c r="M122" s="30"/>
      <c r="N122" s="30"/>
      <c r="O122" s="30"/>
      <c r="P122" s="30"/>
      <c r="Q122" s="30"/>
    </row>
    <row r="123" spans="1:17" customFormat="1" x14ac:dyDescent="0.3">
      <c r="A123" s="620" t="s">
        <v>89</v>
      </c>
      <c r="B123" s="621"/>
      <c r="C123" s="47">
        <f>IF(B9&gt;=50,J33,0)</f>
        <v>3933.2904575440102</v>
      </c>
      <c r="D123" s="55">
        <f>'TABLE DES TAUX 2026'!D27</f>
        <v>5.0000000000000001E-3</v>
      </c>
      <c r="E123" s="47">
        <f t="shared" si="5"/>
        <v>19.670000000000002</v>
      </c>
      <c r="G123" s="228"/>
      <c r="H123" s="28"/>
      <c r="I123" s="28"/>
      <c r="J123" s="28"/>
      <c r="K123" s="28"/>
      <c r="L123" s="30"/>
      <c r="M123" s="30"/>
      <c r="N123" s="30"/>
      <c r="O123" s="30"/>
      <c r="P123" s="30"/>
      <c r="Q123" s="30"/>
    </row>
    <row r="124" spans="1:17" customFormat="1" x14ac:dyDescent="0.3">
      <c r="A124" s="620" t="s">
        <v>270</v>
      </c>
      <c r="B124" s="621"/>
      <c r="C124" s="47">
        <f>IF(B9&gt;=11,J33,0)</f>
        <v>3933.2904575440102</v>
      </c>
      <c r="D124" s="55">
        <f>'MASQUE DE SAISIE '!H22</f>
        <v>3.2000000000000001E-2</v>
      </c>
      <c r="E124" s="47">
        <f t="shared" si="5"/>
        <v>125.87</v>
      </c>
      <c r="F124" s="228"/>
      <c r="H124" s="28"/>
      <c r="I124" s="28"/>
      <c r="J124" s="28"/>
      <c r="K124" s="28"/>
      <c r="L124" s="30"/>
      <c r="M124" s="30"/>
      <c r="N124" s="30"/>
      <c r="O124" s="30"/>
      <c r="P124" s="30"/>
      <c r="Q124" s="30"/>
    </row>
    <row r="125" spans="1:17" customFormat="1" ht="15.75" x14ac:dyDescent="0.25">
      <c r="A125" s="615" t="s">
        <v>70</v>
      </c>
      <c r="B125" s="616"/>
      <c r="C125" s="47">
        <f>J33</f>
        <v>3933.2904575440102</v>
      </c>
      <c r="D125" s="55">
        <f>'TABLE DES TAUX 2026'!D29</f>
        <v>3.0000000000000001E-3</v>
      </c>
      <c r="E125" s="47">
        <f t="shared" si="5"/>
        <v>11.8</v>
      </c>
      <c r="H125" s="28"/>
      <c r="I125" s="28"/>
      <c r="J125" s="28"/>
      <c r="K125" s="28"/>
      <c r="L125" s="30"/>
      <c r="M125" s="30"/>
      <c r="N125" s="30"/>
      <c r="O125" s="30"/>
      <c r="P125" s="30"/>
      <c r="Q125" s="30"/>
    </row>
    <row r="126" spans="1:17" customFormat="1" ht="15.75" x14ac:dyDescent="0.25">
      <c r="A126" s="620" t="s">
        <v>86</v>
      </c>
      <c r="B126" s="621"/>
      <c r="C126" s="47">
        <f>IF(B9&gt;=11, IF(I9=2,G43+G77+G76,G40+G75),0)</f>
        <v>157.34</v>
      </c>
      <c r="D126" s="55">
        <f>'TABLE DES TAUX 2026'!D30</f>
        <v>0.08</v>
      </c>
      <c r="E126" s="47">
        <f t="shared" si="5"/>
        <v>12.59</v>
      </c>
      <c r="H126" s="30"/>
      <c r="I126" s="30"/>
      <c r="J126" s="28"/>
      <c r="K126" s="28"/>
      <c r="L126" s="30"/>
      <c r="M126" s="30"/>
      <c r="N126" s="30"/>
      <c r="O126" s="30"/>
      <c r="P126" s="30"/>
      <c r="Q126" s="30"/>
    </row>
    <row r="127" spans="1:17" customFormat="1" ht="17.25" customHeight="1" x14ac:dyDescent="0.25">
      <c r="A127" s="616" t="s">
        <v>218</v>
      </c>
      <c r="B127" s="622"/>
      <c r="C127" s="47">
        <f>G78</f>
        <v>0</v>
      </c>
      <c r="D127" s="55">
        <f>'TABLE DES TAUX 2026'!D31</f>
        <v>0.2</v>
      </c>
      <c r="E127" s="47">
        <f t="shared" si="5"/>
        <v>0</v>
      </c>
      <c r="H127" s="30"/>
      <c r="I127" s="30"/>
      <c r="J127" s="30"/>
      <c r="K127" s="30"/>
      <c r="L127" s="30"/>
      <c r="M127" s="30"/>
      <c r="N127" s="30"/>
      <c r="O127" s="30"/>
      <c r="P127" s="30"/>
      <c r="Q127" s="30"/>
    </row>
    <row r="128" spans="1:17" customFormat="1" ht="18" customHeight="1" x14ac:dyDescent="0.25">
      <c r="A128" s="615" t="s">
        <v>71</v>
      </c>
      <c r="B128" s="616"/>
      <c r="C128" s="47">
        <f>+J33</f>
        <v>3933.2904575440102</v>
      </c>
      <c r="D128" s="55">
        <f>'TABLE DES TAUX 2026'!D32</f>
        <v>1.6000000000000001E-4</v>
      </c>
      <c r="E128" s="47">
        <f t="shared" ref="E128:E132" si="6">ROUND(C128*D128,2)</f>
        <v>0.63</v>
      </c>
      <c r="H128" s="30"/>
      <c r="I128" s="30"/>
      <c r="J128" s="30"/>
      <c r="K128" s="30"/>
      <c r="L128" s="30"/>
      <c r="M128" s="30"/>
      <c r="N128" s="30"/>
      <c r="O128" s="30"/>
      <c r="P128" s="30"/>
      <c r="Q128" s="30"/>
    </row>
    <row r="129" spans="1:17" customFormat="1" ht="16.5" customHeight="1" x14ac:dyDescent="0.25">
      <c r="A129" s="615" t="s">
        <v>76</v>
      </c>
      <c r="B129" s="616"/>
      <c r="C129" s="47">
        <f>C128</f>
        <v>3933.2904575440102</v>
      </c>
      <c r="D129" s="55">
        <f>'TABLE DES TAUX 2026'!D33</f>
        <v>6.7999999999999996E-3</v>
      </c>
      <c r="E129" s="47">
        <f t="shared" si="6"/>
        <v>26.75</v>
      </c>
      <c r="H129" s="30"/>
      <c r="I129" s="30"/>
      <c r="J129" s="30"/>
      <c r="K129" s="30"/>
      <c r="L129" s="30"/>
      <c r="M129" s="30"/>
      <c r="N129" s="30"/>
      <c r="O129" s="30"/>
      <c r="P129" s="30"/>
      <c r="Q129" s="30"/>
    </row>
    <row r="130" spans="1:17" customFormat="1" ht="15.75" x14ac:dyDescent="0.25">
      <c r="A130" s="615" t="s">
        <v>77</v>
      </c>
      <c r="B130" s="616"/>
      <c r="C130" s="47">
        <f>IF(B9&lt;11,0,J33)</f>
        <v>3933.2904575440102</v>
      </c>
      <c r="D130" s="55">
        <f>'TABLE DES TAUX 2026'!D34</f>
        <v>0.01</v>
      </c>
      <c r="E130" s="47">
        <f t="shared" si="6"/>
        <v>39.33</v>
      </c>
      <c r="H130" s="30"/>
      <c r="I130" s="30"/>
      <c r="J130" s="30"/>
      <c r="K130" s="30"/>
      <c r="L130" s="30"/>
      <c r="M130" s="30"/>
      <c r="N130" s="30"/>
      <c r="O130" s="30"/>
      <c r="P130" s="30"/>
      <c r="Q130" s="30"/>
    </row>
    <row r="131" spans="1:17" customFormat="1" ht="15.75" x14ac:dyDescent="0.25">
      <c r="A131" s="615" t="s">
        <v>77</v>
      </c>
      <c r="B131" s="616"/>
      <c r="C131" s="47">
        <f>IF(B9&gt;=11,0,J33)</f>
        <v>0</v>
      </c>
      <c r="D131" s="55">
        <f>'TABLE DES TAUX 2026'!D35</f>
        <v>5.4999999999999997E-3</v>
      </c>
      <c r="E131" s="47">
        <f t="shared" si="6"/>
        <v>0</v>
      </c>
      <c r="H131" s="30"/>
      <c r="I131" s="30"/>
      <c r="J131" s="30"/>
      <c r="K131" s="30"/>
      <c r="L131" s="30"/>
      <c r="M131" s="30"/>
      <c r="N131" s="30"/>
      <c r="O131" s="30"/>
      <c r="P131" s="30"/>
      <c r="Q131" s="30"/>
    </row>
    <row r="132" spans="1:17" customFormat="1" ht="15.75" x14ac:dyDescent="0.25">
      <c r="A132" s="615" t="s">
        <v>79</v>
      </c>
      <c r="B132" s="616"/>
      <c r="C132" s="47">
        <f>IF(B9&lt;50,0,J33)</f>
        <v>3933.2904575440102</v>
      </c>
      <c r="D132" s="55">
        <f>'TABLE DES TAUX 2026'!D36</f>
        <v>4.4999999999999997E-3</v>
      </c>
      <c r="E132" s="47">
        <f t="shared" si="6"/>
        <v>17.7</v>
      </c>
      <c r="H132" s="30"/>
      <c r="I132" s="30"/>
      <c r="J132" s="30"/>
      <c r="K132" s="30"/>
      <c r="L132" s="30"/>
      <c r="M132" s="30"/>
      <c r="N132" s="30"/>
      <c r="O132" s="30"/>
      <c r="P132" s="30"/>
      <c r="Q132" s="30"/>
    </row>
    <row r="133" spans="1:17" customFormat="1" ht="15.75" x14ac:dyDescent="0.25">
      <c r="A133" s="30"/>
      <c r="B133" s="30"/>
      <c r="D133" s="30"/>
      <c r="E133" s="47">
        <f>SUM(E122:E132)</f>
        <v>254.34000000000003</v>
      </c>
      <c r="G133" s="30"/>
      <c r="H133" s="30"/>
      <c r="I133" s="30"/>
      <c r="J133" s="30"/>
      <c r="K133" s="30"/>
      <c r="L133" s="30"/>
      <c r="M133" s="30"/>
      <c r="N133" s="30"/>
      <c r="O133" s="30"/>
      <c r="P133" s="30"/>
      <c r="Q133" s="30"/>
    </row>
    <row r="134" spans="1:17" customFormat="1" x14ac:dyDescent="0.3">
      <c r="A134" s="231"/>
      <c r="B134" s="231"/>
      <c r="C134" s="228"/>
      <c r="D134" s="229"/>
      <c r="E134" s="229"/>
      <c r="F134" s="228"/>
      <c r="G134" s="228"/>
      <c r="H134" s="27"/>
      <c r="I134" s="27"/>
      <c r="J134" s="30"/>
      <c r="K134" s="30"/>
      <c r="L134" s="30"/>
      <c r="M134" s="30"/>
      <c r="N134" s="30"/>
      <c r="O134" s="30"/>
      <c r="P134" s="30"/>
      <c r="Q134" s="30"/>
    </row>
  </sheetData>
  <mergeCells count="128">
    <mergeCell ref="A132:B132"/>
    <mergeCell ref="A42:B42"/>
    <mergeCell ref="A46:B46"/>
    <mergeCell ref="A47:B47"/>
    <mergeCell ref="A125:B125"/>
    <mergeCell ref="A128:B128"/>
    <mergeCell ref="A129:B129"/>
    <mergeCell ref="A130:B130"/>
    <mergeCell ref="A131:B131"/>
    <mergeCell ref="A97:E97"/>
    <mergeCell ref="A126:B126"/>
    <mergeCell ref="A122:B122"/>
    <mergeCell ref="A123:B123"/>
    <mergeCell ref="A124:B124"/>
    <mergeCell ref="A84:I84"/>
    <mergeCell ref="A69:B69"/>
    <mergeCell ref="A70:B70"/>
    <mergeCell ref="A71:B71"/>
    <mergeCell ref="A72:B72"/>
    <mergeCell ref="A43:B43"/>
    <mergeCell ref="A65:B65"/>
    <mergeCell ref="A66:B66"/>
    <mergeCell ref="A67:B67"/>
    <mergeCell ref="A68:B68"/>
    <mergeCell ref="D92:E92"/>
    <mergeCell ref="F92:G92"/>
    <mergeCell ref="F10:G10"/>
    <mergeCell ref="M84:N84"/>
    <mergeCell ref="A85:I85"/>
    <mergeCell ref="M85:N85"/>
    <mergeCell ref="A86:I86"/>
    <mergeCell ref="M88:N88"/>
    <mergeCell ref="M86:N86"/>
    <mergeCell ref="M90:N90"/>
    <mergeCell ref="A75:B75"/>
    <mergeCell ref="A76:B76"/>
    <mergeCell ref="A80:B80"/>
    <mergeCell ref="A81:B81"/>
    <mergeCell ref="A82:B82"/>
    <mergeCell ref="A83:B83"/>
    <mergeCell ref="A87:I87"/>
    <mergeCell ref="A77:B77"/>
    <mergeCell ref="A78:B78"/>
    <mergeCell ref="A91:I91"/>
    <mergeCell ref="M91:N91"/>
    <mergeCell ref="A79:B79"/>
    <mergeCell ref="A90:I90"/>
    <mergeCell ref="A61:B61"/>
    <mergeCell ref="G5:J5"/>
    <mergeCell ref="C36:G36"/>
    <mergeCell ref="A39:B39"/>
    <mergeCell ref="A45:B45"/>
    <mergeCell ref="A50:B50"/>
    <mergeCell ref="A13:F13"/>
    <mergeCell ref="A14:F14"/>
    <mergeCell ref="A15:F15"/>
    <mergeCell ref="A16:F16"/>
    <mergeCell ref="A17:F17"/>
    <mergeCell ref="A18:F18"/>
    <mergeCell ref="A22:F22"/>
    <mergeCell ref="A23:F23"/>
    <mergeCell ref="A33:B33"/>
    <mergeCell ref="D33:I33"/>
    <mergeCell ref="A34:J34"/>
    <mergeCell ref="A35:B35"/>
    <mergeCell ref="A88:C89"/>
    <mergeCell ref="D88:E88"/>
    <mergeCell ref="F88:G88"/>
    <mergeCell ref="D89:E89"/>
    <mergeCell ref="F89:G89"/>
    <mergeCell ref="L57:M57"/>
    <mergeCell ref="A51:B51"/>
    <mergeCell ref="A52:B52"/>
    <mergeCell ref="A53:B53"/>
    <mergeCell ref="L53:N53"/>
    <mergeCell ref="A54:B54"/>
    <mergeCell ref="L54:M54"/>
    <mergeCell ref="A55:B55"/>
    <mergeCell ref="A56:B56"/>
    <mergeCell ref="A57:B57"/>
    <mergeCell ref="I57:J57"/>
    <mergeCell ref="L64:M64"/>
    <mergeCell ref="A59:B59"/>
    <mergeCell ref="A60:B60"/>
    <mergeCell ref="L60:M60"/>
    <mergeCell ref="A74:B74"/>
    <mergeCell ref="A62:B62"/>
    <mergeCell ref="A63:B63"/>
    <mergeCell ref="A73:B73"/>
    <mergeCell ref="A49:B49"/>
    <mergeCell ref="A58:B58"/>
    <mergeCell ref="A64:B64"/>
    <mergeCell ref="A26:F26"/>
    <mergeCell ref="A27:F27"/>
    <mergeCell ref="A28:F28"/>
    <mergeCell ref="A29:F29"/>
    <mergeCell ref="A30:F30"/>
    <mergeCell ref="A31:F31"/>
    <mergeCell ref="A32:F32"/>
    <mergeCell ref="A36:B36"/>
    <mergeCell ref="A37:B37"/>
    <mergeCell ref="A38:B38"/>
    <mergeCell ref="A40:B40"/>
    <mergeCell ref="A41:B41"/>
    <mergeCell ref="A127:B127"/>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 ref="A25:F25"/>
    <mergeCell ref="A24:F24"/>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$L$3:$L$5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5" orientation="portrait" horizontalDpi="4294967293"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6F624-BF10-49C6-A299-51B48FDDE3A3}">
  <dimension ref="A18:H48"/>
  <sheetViews>
    <sheetView topLeftCell="A40" workbookViewId="0">
      <selection activeCell="A44" sqref="A44:XFD44"/>
    </sheetView>
  </sheetViews>
  <sheetFormatPr baseColWidth="10" defaultRowHeight="15" x14ac:dyDescent="0.25"/>
  <cols>
    <col min="2" max="2" width="26.5703125" customWidth="1"/>
  </cols>
  <sheetData>
    <row r="18" spans="2:8" s="191" customFormat="1" ht="30" customHeight="1" x14ac:dyDescent="0.25">
      <c r="B18" s="702" t="s">
        <v>459</v>
      </c>
      <c r="C18" s="702"/>
      <c r="D18" s="702"/>
      <c r="E18" s="702"/>
      <c r="F18" s="220"/>
      <c r="G18" s="220"/>
      <c r="H18" s="220"/>
    </row>
    <row r="19" spans="2:8" s="191" customFormat="1" ht="30" customHeight="1" x14ac:dyDescent="0.25">
      <c r="B19" s="698" t="s">
        <v>460</v>
      </c>
      <c r="C19" s="698"/>
      <c r="D19" s="698"/>
      <c r="E19" s="698"/>
      <c r="F19" s="220"/>
      <c r="G19" s="220"/>
      <c r="H19" s="220"/>
    </row>
    <row r="20" spans="2:8" s="191" customFormat="1" ht="30" customHeight="1" x14ac:dyDescent="0.25">
      <c r="B20" s="698" t="s">
        <v>461</v>
      </c>
      <c r="C20" s="698"/>
      <c r="D20" s="698"/>
      <c r="E20" s="524">
        <f>'TABLE DES TAUX 2026'!C54</f>
        <v>12.02</v>
      </c>
      <c r="F20" s="220"/>
      <c r="G20" s="220"/>
      <c r="H20" s="220"/>
    </row>
    <row r="21" spans="2:8" s="191" customFormat="1" ht="30" customHeight="1" x14ac:dyDescent="0.25">
      <c r="B21" s="698" t="s">
        <v>284</v>
      </c>
      <c r="C21" s="698"/>
      <c r="D21" s="698"/>
      <c r="E21" s="525">
        <f>+'BP FORMAT JUILLET 2023'!B9</f>
        <v>60</v>
      </c>
      <c r="F21" s="220"/>
      <c r="G21" s="220"/>
      <c r="H21" s="220"/>
    </row>
    <row r="22" spans="2:8" s="191" customFormat="1" ht="30" customHeight="1" x14ac:dyDescent="0.25">
      <c r="B22" s="698" t="s">
        <v>462</v>
      </c>
      <c r="C22" s="698"/>
      <c r="D22" s="698"/>
      <c r="E22" s="41">
        <f>'TABLE DES TAUX 2026'!C61</f>
        <v>0.37809999999999999</v>
      </c>
      <c r="F22" s="701" t="s">
        <v>463</v>
      </c>
      <c r="G22" s="699"/>
      <c r="H22" s="699"/>
    </row>
    <row r="23" spans="2:8" s="191" customFormat="1" ht="30" customHeight="1" x14ac:dyDescent="0.25">
      <c r="B23" s="698"/>
      <c r="C23" s="698"/>
      <c r="D23" s="698"/>
      <c r="E23" s="41">
        <f>'TABLE DES TAUX 2026'!D61</f>
        <v>0.3821</v>
      </c>
      <c r="F23" s="701" t="s">
        <v>464</v>
      </c>
      <c r="G23" s="699"/>
      <c r="H23" s="699"/>
    </row>
    <row r="24" spans="2:8" s="191" customFormat="1" ht="30" customHeight="1" x14ac:dyDescent="0.25">
      <c r="B24" s="698" t="s">
        <v>13</v>
      </c>
      <c r="C24" s="698"/>
      <c r="D24" s="698"/>
      <c r="E24" s="526">
        <f>+'BP FORMAT JUILLET 2023'!B10</f>
        <v>151.66999999999999</v>
      </c>
      <c r="F24" s="220"/>
      <c r="G24" s="220"/>
      <c r="H24" s="220"/>
    </row>
    <row r="25" spans="2:8" s="191" customFormat="1" ht="30" customHeight="1" x14ac:dyDescent="0.25">
      <c r="B25" s="698" t="s">
        <v>465</v>
      </c>
      <c r="C25" s="698"/>
      <c r="D25" s="698"/>
      <c r="E25" s="527">
        <f>'BP FORMAT JUILLET 2023'!J33</f>
        <v>3933.2904575440102</v>
      </c>
      <c r="F25" s="220"/>
      <c r="G25" s="220"/>
      <c r="H25" s="220"/>
    </row>
    <row r="26" spans="2:8" s="191" customFormat="1" ht="15.75" x14ac:dyDescent="0.25"/>
    <row r="27" spans="2:8" s="191" customFormat="1" ht="15.75" x14ac:dyDescent="0.25"/>
    <row r="28" spans="2:8" s="191" customFormat="1" ht="15.75" x14ac:dyDescent="0.25"/>
    <row r="29" spans="2:8" s="191" customFormat="1" ht="15.75" x14ac:dyDescent="0.25"/>
    <row r="30" spans="2:8" s="191" customFormat="1" ht="15.75" x14ac:dyDescent="0.25"/>
    <row r="31" spans="2:8" s="191" customFormat="1" ht="15.75" x14ac:dyDescent="0.25"/>
    <row r="32" spans="2:8" s="191" customFormat="1" ht="15.75" x14ac:dyDescent="0.25"/>
    <row r="33" spans="1:7" s="191" customFormat="1" ht="15.75" x14ac:dyDescent="0.25"/>
    <row r="34" spans="1:7" s="191" customFormat="1" ht="15.75" x14ac:dyDescent="0.25"/>
    <row r="35" spans="1:7" s="220" customFormat="1" ht="33.75" customHeight="1" x14ac:dyDescent="0.25">
      <c r="A35" s="41" t="s">
        <v>286</v>
      </c>
      <c r="B35" s="41" t="s">
        <v>466</v>
      </c>
      <c r="C35" s="528">
        <v>0.02</v>
      </c>
    </row>
    <row r="36" spans="1:7" s="220" customFormat="1" ht="33.75" customHeight="1" x14ac:dyDescent="0.25">
      <c r="A36" s="41" t="s">
        <v>252</v>
      </c>
      <c r="B36" s="41" t="s">
        <v>467</v>
      </c>
      <c r="C36" s="41">
        <f>IF(E21&gt;=50,E23,E22)</f>
        <v>0.3821</v>
      </c>
      <c r="D36" s="698" t="s">
        <v>468</v>
      </c>
      <c r="E36" s="698"/>
      <c r="F36" s="698"/>
      <c r="G36" s="698"/>
    </row>
    <row r="37" spans="1:7" s="220" customFormat="1" ht="33.75" customHeight="1" x14ac:dyDescent="0.25">
      <c r="A37" s="41" t="s">
        <v>217</v>
      </c>
      <c r="B37" s="41" t="s">
        <v>469</v>
      </c>
      <c r="C37" s="41">
        <f>3*E20*E24</f>
        <v>5469.2201999999997</v>
      </c>
    </row>
    <row r="38" spans="1:7" s="220" customFormat="1" ht="33.75" customHeight="1" x14ac:dyDescent="0.25">
      <c r="A38" s="41" t="s">
        <v>253</v>
      </c>
      <c r="B38" s="41" t="s">
        <v>470</v>
      </c>
      <c r="C38" s="41">
        <f>E25</f>
        <v>3933.2904575440102</v>
      </c>
    </row>
    <row r="39" spans="1:7" s="220" customFormat="1" ht="33.75" customHeight="1" x14ac:dyDescent="0.25">
      <c r="A39" s="41" t="s">
        <v>471</v>
      </c>
      <c r="B39" s="41" t="s">
        <v>254</v>
      </c>
      <c r="C39" s="41">
        <f>C37/C38</f>
        <v>1.3904948691267109</v>
      </c>
    </row>
    <row r="40" spans="1:7" s="220" customFormat="1" ht="33.75" customHeight="1" x14ac:dyDescent="0.25">
      <c r="A40" s="41" t="s">
        <v>255</v>
      </c>
      <c r="B40" s="41" t="s">
        <v>472</v>
      </c>
      <c r="C40" s="41">
        <f>IF((C39-1)&lt;0,0,C39-1)</f>
        <v>0.39049486912671094</v>
      </c>
    </row>
    <row r="41" spans="1:7" s="220" customFormat="1" ht="33.75" customHeight="1" x14ac:dyDescent="0.25">
      <c r="A41" s="41" t="s">
        <v>473</v>
      </c>
      <c r="B41" s="41" t="s">
        <v>256</v>
      </c>
      <c r="C41" s="41">
        <f>C40/2</f>
        <v>0.19524743456335547</v>
      </c>
    </row>
    <row r="42" spans="1:7" s="220" customFormat="1" ht="33.75" customHeight="1" x14ac:dyDescent="0.25">
      <c r="A42" s="41" t="s">
        <v>282</v>
      </c>
      <c r="B42" s="41" t="s">
        <v>489</v>
      </c>
      <c r="C42" s="41">
        <f>POWER(C41,1.75)</f>
        <v>5.7348800458512726E-2</v>
      </c>
    </row>
    <row r="43" spans="1:7" s="220" customFormat="1" ht="33.75" customHeight="1" x14ac:dyDescent="0.25">
      <c r="A43" s="41" t="s">
        <v>283</v>
      </c>
      <c r="B43" s="41" t="s">
        <v>490</v>
      </c>
      <c r="C43" s="41">
        <f>IF($E$21&lt;50,$E$22*C42,$E$23*C42)</f>
        <v>2.1912976655197713E-2</v>
      </c>
    </row>
    <row r="44" spans="1:7" s="220" customFormat="1" ht="33.75" customHeight="1" x14ac:dyDescent="0.25">
      <c r="A44" s="41" t="s">
        <v>474</v>
      </c>
      <c r="B44" s="41" t="s">
        <v>475</v>
      </c>
      <c r="C44" s="540">
        <f>ROUND(IF((C35+C43)=0.02,0,C35+C43),4)</f>
        <v>4.19E-2</v>
      </c>
      <c r="D44" s="699"/>
      <c r="E44" s="699"/>
      <c r="F44" s="699"/>
      <c r="G44" s="699"/>
    </row>
    <row r="45" spans="1:7" s="220" customFormat="1" ht="33.75" customHeight="1" x14ac:dyDescent="0.25">
      <c r="A45" s="41" t="s">
        <v>476</v>
      </c>
      <c r="B45" s="41" t="s">
        <v>477</v>
      </c>
      <c r="C45" s="541">
        <f>ROUND((C44*E25),2)</f>
        <v>164.8</v>
      </c>
      <c r="D45" s="700" t="s">
        <v>478</v>
      </c>
      <c r="E45" s="700"/>
      <c r="F45" s="700"/>
      <c r="G45" s="700"/>
    </row>
    <row r="46" spans="1:7" s="191" customFormat="1" ht="15.75" x14ac:dyDescent="0.25"/>
    <row r="47" spans="1:7" s="30" customFormat="1" ht="15.75" x14ac:dyDescent="0.25"/>
    <row r="48" spans="1:7" s="30" customFormat="1" ht="15.75" x14ac:dyDescent="0.25"/>
  </sheetData>
  <mergeCells count="12">
    <mergeCell ref="F22:H22"/>
    <mergeCell ref="F23:H23"/>
    <mergeCell ref="B18:E18"/>
    <mergeCell ref="B19:E19"/>
    <mergeCell ref="B20:D20"/>
    <mergeCell ref="B21:D21"/>
    <mergeCell ref="B22:D23"/>
    <mergeCell ref="B24:D24"/>
    <mergeCell ref="B25:D25"/>
    <mergeCell ref="D36:G36"/>
    <mergeCell ref="D44:G44"/>
    <mergeCell ref="D45:G4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1"/>
  <sheetViews>
    <sheetView topLeftCell="A96" zoomScale="125" zoomScaleNormal="130" workbookViewId="0">
      <selection activeCell="E99" sqref="E99"/>
    </sheetView>
  </sheetViews>
  <sheetFormatPr baseColWidth="10" defaultRowHeight="15" x14ac:dyDescent="0.25"/>
  <cols>
    <col min="1" max="1" width="14.85546875" customWidth="1"/>
    <col min="2" max="2" width="13.28515625" customWidth="1"/>
    <col min="3" max="3" width="12.5703125" customWidth="1"/>
    <col min="4" max="4" width="16.140625" style="56" customWidth="1"/>
    <col min="5" max="5" width="15" customWidth="1"/>
    <col min="6" max="6" width="14.140625" customWidth="1"/>
    <col min="7" max="7" width="12.7109375" customWidth="1"/>
    <col min="8" max="8" width="16.5703125" customWidth="1"/>
    <col min="9" max="9" width="14.5703125" customWidth="1"/>
    <col min="10" max="10" width="12.7109375" customWidth="1"/>
    <col min="11" max="11" width="15.42578125" bestFit="1" customWidth="1"/>
    <col min="12" max="12" width="14.28515625" hidden="1" customWidth="1"/>
    <col min="13" max="13" width="12" hidden="1" customWidth="1"/>
    <col min="14" max="14" width="12.140625" hidden="1" customWidth="1"/>
    <col min="15" max="15" width="10.140625" hidden="1" customWidth="1"/>
    <col min="16" max="18" width="10.85546875" hidden="1" customWidth="1"/>
    <col min="19" max="19" width="9.5703125" hidden="1" customWidth="1"/>
    <col min="20" max="20" width="10.140625" hidden="1" customWidth="1"/>
    <col min="21" max="21" width="10" hidden="1" customWidth="1"/>
    <col min="22" max="22" width="12.140625" hidden="1" customWidth="1"/>
    <col min="23" max="31" width="0" hidden="1" customWidth="1"/>
    <col min="32" max="32" width="11.42578125" hidden="1" customWidth="1"/>
    <col min="33" max="33" width="0" hidden="1" customWidth="1"/>
  </cols>
  <sheetData>
    <row r="1" spans="1:16" ht="20.25" hidden="1" customHeight="1" x14ac:dyDescent="0.25">
      <c r="A1" t="s">
        <v>113</v>
      </c>
    </row>
    <row r="2" spans="1:16" s="69" customFormat="1" ht="26.25" hidden="1" customHeight="1" x14ac:dyDescent="0.2">
      <c r="A2" s="74" t="s">
        <v>84</v>
      </c>
      <c r="B2" s="74" t="s">
        <v>114</v>
      </c>
      <c r="C2" s="74" t="s">
        <v>115</v>
      </c>
      <c r="D2" s="74" t="s">
        <v>116</v>
      </c>
      <c r="E2" s="74" t="s">
        <v>117</v>
      </c>
      <c r="F2" s="74"/>
      <c r="G2" s="74"/>
      <c r="H2" s="74"/>
      <c r="I2" s="74"/>
      <c r="J2" s="74"/>
      <c r="K2" s="74" t="s">
        <v>118</v>
      </c>
      <c r="L2" s="74" t="s">
        <v>119</v>
      </c>
      <c r="M2" s="74" t="s">
        <v>120</v>
      </c>
      <c r="N2" s="74" t="s">
        <v>121</v>
      </c>
      <c r="O2" s="74" t="s">
        <v>122</v>
      </c>
      <c r="P2" s="74" t="s">
        <v>123</v>
      </c>
    </row>
    <row r="3" spans="1:16" s="62" customFormat="1" ht="20.25" hidden="1" customHeight="1" x14ac:dyDescent="0.25">
      <c r="A3" s="70" t="s">
        <v>102</v>
      </c>
      <c r="B3" s="75">
        <f>'[2]SUIVI RETRAITE '!B7</f>
        <v>4910.7999999999993</v>
      </c>
      <c r="C3" s="76">
        <f>'[2]SUIVI RETRAITE '!C7</f>
        <v>3428</v>
      </c>
      <c r="D3" s="77">
        <f>C3</f>
        <v>3428</v>
      </c>
      <c r="E3" s="77">
        <f>B3</f>
        <v>4910.7999999999993</v>
      </c>
      <c r="F3" s="77"/>
      <c r="G3" s="77"/>
      <c r="H3" s="77"/>
      <c r="I3" s="77"/>
      <c r="J3" s="77"/>
      <c r="K3" s="77">
        <f t="shared" ref="K3:K14" si="0">MIN(D3,E3)</f>
        <v>3428</v>
      </c>
      <c r="L3" s="77">
        <f>K3</f>
        <v>3428</v>
      </c>
      <c r="M3" s="77">
        <f>IF(E3&gt;D3,IF((E3-D3)&gt;3*D3,3*D3,E3-D3),0)</f>
        <v>1482.7999999999993</v>
      </c>
      <c r="N3" s="77">
        <f>M3</f>
        <v>1482.7999999999993</v>
      </c>
      <c r="O3" s="77">
        <f>IF(E3&gt;8*D3,7*D3,IF(E3&lt;D3,0,E3-D3))</f>
        <v>1482.7999999999993</v>
      </c>
      <c r="P3" s="77">
        <f>O3</f>
        <v>1482.7999999999993</v>
      </c>
    </row>
    <row r="4" spans="1:16" s="62" customFormat="1" ht="20.25" hidden="1" customHeight="1" x14ac:dyDescent="0.25">
      <c r="A4" s="70" t="s">
        <v>124</v>
      </c>
      <c r="B4" s="75">
        <f>'[2]SUIVI RETRAITE '!B8</f>
        <v>0</v>
      </c>
      <c r="C4" s="76">
        <f>'[2]SUIVI RETRAITE '!C8</f>
        <v>0</v>
      </c>
      <c r="D4" s="77">
        <f>D3+C4</f>
        <v>3428</v>
      </c>
      <c r="E4" s="77">
        <f>E3+B4</f>
        <v>4910.7999999999993</v>
      </c>
      <c r="F4" s="77"/>
      <c r="G4" s="77"/>
      <c r="H4" s="77"/>
      <c r="I4" s="77"/>
      <c r="J4" s="77"/>
      <c r="K4" s="77">
        <f t="shared" si="0"/>
        <v>3428</v>
      </c>
      <c r="L4" s="77">
        <f t="shared" ref="L4:L14" si="1">K4-K3</f>
        <v>0</v>
      </c>
      <c r="M4" s="77">
        <f t="shared" ref="M4:M14" si="2">IF(E4&gt;D4,IF((E4-D4)&gt;3*D4,3*D4,E4-D4),0)</f>
        <v>1482.7999999999993</v>
      </c>
      <c r="N4" s="77">
        <f t="shared" ref="N4:N14" si="3">M4-M3</f>
        <v>0</v>
      </c>
      <c r="O4" s="77">
        <f>IF(E4&gt;8*D4,7*D4,IF(E4&lt;D4,0,E4-D4))</f>
        <v>1482.7999999999993</v>
      </c>
      <c r="P4" s="77">
        <f t="shared" ref="P4:P14" si="4">O4-O3</f>
        <v>0</v>
      </c>
    </row>
    <row r="5" spans="1:16" s="62" customFormat="1" ht="20.25" hidden="1" customHeight="1" x14ac:dyDescent="0.25">
      <c r="A5" s="70" t="s">
        <v>103</v>
      </c>
      <c r="B5" s="75" t="e">
        <f>'[2]SUIVI RETRAITE '!B9</f>
        <v>#DIV/0!</v>
      </c>
      <c r="C5" s="76">
        <f>'[2]SUIVI RETRAITE '!C9</f>
        <v>0</v>
      </c>
      <c r="D5" s="77">
        <f>D4+C5</f>
        <v>3428</v>
      </c>
      <c r="E5" s="77" t="e">
        <f>E4+B5</f>
        <v>#DIV/0!</v>
      </c>
      <c r="F5" s="77"/>
      <c r="G5" s="77"/>
      <c r="H5" s="77"/>
      <c r="I5" s="77"/>
      <c r="J5" s="77"/>
      <c r="K5" s="77" t="e">
        <f t="shared" si="0"/>
        <v>#DIV/0!</v>
      </c>
      <c r="L5" s="77" t="e">
        <f t="shared" si="1"/>
        <v>#DIV/0!</v>
      </c>
      <c r="M5" s="77" t="e">
        <f t="shared" si="2"/>
        <v>#DIV/0!</v>
      </c>
      <c r="N5" s="77" t="e">
        <f t="shared" si="3"/>
        <v>#DIV/0!</v>
      </c>
      <c r="O5" s="77" t="e">
        <f t="shared" ref="O5:O14" si="5">IF(E5&gt;8*D5,7*D5,IF(E5&lt;D5,0,E5-D5))</f>
        <v>#DIV/0!</v>
      </c>
      <c r="P5" s="77" t="e">
        <f t="shared" si="4"/>
        <v>#DIV/0!</v>
      </c>
    </row>
    <row r="6" spans="1:16" s="62" customFormat="1" ht="20.25" hidden="1" customHeight="1" x14ac:dyDescent="0.25">
      <c r="A6" s="70" t="s">
        <v>125</v>
      </c>
      <c r="B6" s="75" t="e">
        <f>'[2]SUIVI RETRAITE '!B10</f>
        <v>#DIV/0!</v>
      </c>
      <c r="C6" s="76">
        <f>'[2]SUIVI RETRAITE '!C10</f>
        <v>0</v>
      </c>
      <c r="D6" s="77">
        <f>D5+C6</f>
        <v>3428</v>
      </c>
      <c r="E6" s="77" t="e">
        <f>E5+B6</f>
        <v>#DIV/0!</v>
      </c>
      <c r="F6" s="77"/>
      <c r="G6" s="77"/>
      <c r="H6" s="77"/>
      <c r="I6" s="77"/>
      <c r="J6" s="77"/>
      <c r="K6" s="77" t="e">
        <f t="shared" si="0"/>
        <v>#DIV/0!</v>
      </c>
      <c r="L6" s="77" t="e">
        <f t="shared" si="1"/>
        <v>#DIV/0!</v>
      </c>
      <c r="M6" s="77" t="e">
        <f t="shared" si="2"/>
        <v>#DIV/0!</v>
      </c>
      <c r="N6" s="77" t="e">
        <f t="shared" si="3"/>
        <v>#DIV/0!</v>
      </c>
      <c r="O6" s="77" t="e">
        <f t="shared" si="5"/>
        <v>#DIV/0!</v>
      </c>
      <c r="P6" s="77" t="e">
        <f t="shared" si="4"/>
        <v>#DIV/0!</v>
      </c>
    </row>
    <row r="7" spans="1:16" s="62" customFormat="1" ht="20.25" hidden="1" customHeight="1" x14ac:dyDescent="0.25">
      <c r="A7" s="70" t="s">
        <v>106</v>
      </c>
      <c r="B7" s="75" t="e">
        <f>'[2]SUIVI RETRAITE '!B11</f>
        <v>#DIV/0!</v>
      </c>
      <c r="C7" s="76">
        <f>'[2]SUIVI RETRAITE '!C11</f>
        <v>0</v>
      </c>
      <c r="D7" s="77">
        <f t="shared" ref="D7:D14" si="6">D6+C7</f>
        <v>3428</v>
      </c>
      <c r="E7" s="77" t="e">
        <f t="shared" ref="E7:E14" si="7">E6+B7</f>
        <v>#DIV/0!</v>
      </c>
      <c r="F7" s="77"/>
      <c r="G7" s="77"/>
      <c r="H7" s="77"/>
      <c r="I7" s="77"/>
      <c r="J7" s="77"/>
      <c r="K7" s="77" t="e">
        <f t="shared" si="0"/>
        <v>#DIV/0!</v>
      </c>
      <c r="L7" s="77" t="e">
        <f t="shared" si="1"/>
        <v>#DIV/0!</v>
      </c>
      <c r="M7" s="77" t="e">
        <f t="shared" si="2"/>
        <v>#DIV/0!</v>
      </c>
      <c r="N7" s="77" t="e">
        <f t="shared" si="3"/>
        <v>#DIV/0!</v>
      </c>
      <c r="O7" s="77" t="e">
        <f t="shared" si="5"/>
        <v>#DIV/0!</v>
      </c>
      <c r="P7" s="77" t="e">
        <f t="shared" si="4"/>
        <v>#DIV/0!</v>
      </c>
    </row>
    <row r="8" spans="1:16" s="62" customFormat="1" ht="20.25" hidden="1" customHeight="1" x14ac:dyDescent="0.25">
      <c r="A8" s="70" t="s">
        <v>104</v>
      </c>
      <c r="B8" s="75" t="e">
        <f>'[2]SUIVI RETRAITE '!B12</f>
        <v>#DIV/0!</v>
      </c>
      <c r="C8" s="76">
        <f>'[2]SUIVI RETRAITE '!C12</f>
        <v>0</v>
      </c>
      <c r="D8" s="76">
        <f t="shared" si="6"/>
        <v>3428</v>
      </c>
      <c r="E8" s="76" t="e">
        <f t="shared" si="7"/>
        <v>#DIV/0!</v>
      </c>
      <c r="F8" s="76"/>
      <c r="G8" s="76"/>
      <c r="H8" s="76"/>
      <c r="I8" s="76"/>
      <c r="J8" s="76"/>
      <c r="K8" s="77" t="e">
        <f t="shared" si="0"/>
        <v>#DIV/0!</v>
      </c>
      <c r="L8" s="77" t="e">
        <f t="shared" si="1"/>
        <v>#DIV/0!</v>
      </c>
      <c r="M8" s="77" t="e">
        <f t="shared" si="2"/>
        <v>#DIV/0!</v>
      </c>
      <c r="N8" s="77" t="e">
        <f t="shared" si="3"/>
        <v>#DIV/0!</v>
      </c>
      <c r="O8" s="77" t="e">
        <f t="shared" si="5"/>
        <v>#DIV/0!</v>
      </c>
      <c r="P8" s="77" t="e">
        <f t="shared" si="4"/>
        <v>#DIV/0!</v>
      </c>
    </row>
    <row r="9" spans="1:16" s="62" customFormat="1" ht="20.25" hidden="1" customHeight="1" x14ac:dyDescent="0.25">
      <c r="A9" s="70" t="s">
        <v>107</v>
      </c>
      <c r="B9" s="75" t="e">
        <f>'[2]SUIVI RETRAITE '!B13</f>
        <v>#DIV/0!</v>
      </c>
      <c r="C9" s="76">
        <f>'[2]SUIVI RETRAITE '!C13</f>
        <v>0</v>
      </c>
      <c r="D9" s="76">
        <f t="shared" si="6"/>
        <v>3428</v>
      </c>
      <c r="E9" s="76" t="e">
        <f t="shared" si="7"/>
        <v>#DIV/0!</v>
      </c>
      <c r="F9" s="76"/>
      <c r="G9" s="76"/>
      <c r="H9" s="76"/>
      <c r="I9" s="76"/>
      <c r="J9" s="76"/>
      <c r="K9" s="77" t="e">
        <f t="shared" si="0"/>
        <v>#DIV/0!</v>
      </c>
      <c r="L9" s="77" t="e">
        <f t="shared" si="1"/>
        <v>#DIV/0!</v>
      </c>
      <c r="M9" s="77" t="e">
        <f t="shared" si="2"/>
        <v>#DIV/0!</v>
      </c>
      <c r="N9" s="77" t="e">
        <f t="shared" si="3"/>
        <v>#DIV/0!</v>
      </c>
      <c r="O9" s="77" t="e">
        <f t="shared" si="5"/>
        <v>#DIV/0!</v>
      </c>
      <c r="P9" s="77" t="e">
        <f t="shared" si="4"/>
        <v>#DIV/0!</v>
      </c>
    </row>
    <row r="10" spans="1:16" s="62" customFormat="1" ht="20.25" hidden="1" customHeight="1" x14ac:dyDescent="0.25">
      <c r="A10" s="70" t="s">
        <v>108</v>
      </c>
      <c r="B10" s="75" t="e">
        <f>'[2]SUIVI RETRAITE '!B14</f>
        <v>#DIV/0!</v>
      </c>
      <c r="C10" s="76">
        <f>'[2]SUIVI RETRAITE '!C14</f>
        <v>0</v>
      </c>
      <c r="D10" s="76">
        <f t="shared" si="6"/>
        <v>3428</v>
      </c>
      <c r="E10" s="76" t="e">
        <f t="shared" si="7"/>
        <v>#DIV/0!</v>
      </c>
      <c r="F10" s="76"/>
      <c r="G10" s="76"/>
      <c r="H10" s="76"/>
      <c r="I10" s="76"/>
      <c r="J10" s="76"/>
      <c r="K10" s="77" t="e">
        <f t="shared" si="0"/>
        <v>#DIV/0!</v>
      </c>
      <c r="L10" s="77" t="e">
        <f t="shared" si="1"/>
        <v>#DIV/0!</v>
      </c>
      <c r="M10" s="77" t="e">
        <f t="shared" si="2"/>
        <v>#DIV/0!</v>
      </c>
      <c r="N10" s="77" t="e">
        <f t="shared" si="3"/>
        <v>#DIV/0!</v>
      </c>
      <c r="O10" s="77" t="e">
        <f t="shared" si="5"/>
        <v>#DIV/0!</v>
      </c>
      <c r="P10" s="77" t="e">
        <f t="shared" si="4"/>
        <v>#DIV/0!</v>
      </c>
    </row>
    <row r="11" spans="1:16" s="62" customFormat="1" ht="20.25" hidden="1" customHeight="1" x14ac:dyDescent="0.25">
      <c r="A11" s="70" t="s">
        <v>109</v>
      </c>
      <c r="B11" s="75" t="e">
        <f>'[2]SUIVI RETRAITE '!B15</f>
        <v>#DIV/0!</v>
      </c>
      <c r="C11" s="76">
        <f>'[2]SUIVI RETRAITE '!C15</f>
        <v>0</v>
      </c>
      <c r="D11" s="76">
        <f t="shared" si="6"/>
        <v>3428</v>
      </c>
      <c r="E11" s="76" t="e">
        <f t="shared" si="7"/>
        <v>#DIV/0!</v>
      </c>
      <c r="F11" s="76"/>
      <c r="G11" s="76"/>
      <c r="H11" s="76"/>
      <c r="I11" s="76"/>
      <c r="J11" s="76"/>
      <c r="K11" s="77" t="e">
        <f t="shared" si="0"/>
        <v>#DIV/0!</v>
      </c>
      <c r="L11" s="77" t="e">
        <f t="shared" si="1"/>
        <v>#DIV/0!</v>
      </c>
      <c r="M11" s="77" t="e">
        <f t="shared" si="2"/>
        <v>#DIV/0!</v>
      </c>
      <c r="N11" s="77" t="e">
        <f t="shared" si="3"/>
        <v>#DIV/0!</v>
      </c>
      <c r="O11" s="77" t="e">
        <f t="shared" si="5"/>
        <v>#DIV/0!</v>
      </c>
      <c r="P11" s="77" t="e">
        <f t="shared" si="4"/>
        <v>#DIV/0!</v>
      </c>
    </row>
    <row r="12" spans="1:16" s="62" customFormat="1" ht="20.25" hidden="1" customHeight="1" x14ac:dyDescent="0.25">
      <c r="A12" s="70" t="s">
        <v>105</v>
      </c>
      <c r="B12" s="75" t="e">
        <f>'[2]SUIVI RETRAITE '!B16</f>
        <v>#DIV/0!</v>
      </c>
      <c r="C12" s="76">
        <f>'[2]SUIVI RETRAITE '!C16</f>
        <v>0</v>
      </c>
      <c r="D12" s="76">
        <f t="shared" si="6"/>
        <v>3428</v>
      </c>
      <c r="E12" s="76" t="e">
        <f t="shared" si="7"/>
        <v>#DIV/0!</v>
      </c>
      <c r="F12" s="76"/>
      <c r="G12" s="76"/>
      <c r="H12" s="76"/>
      <c r="I12" s="76"/>
      <c r="J12" s="76"/>
      <c r="K12" s="77" t="e">
        <f t="shared" si="0"/>
        <v>#DIV/0!</v>
      </c>
      <c r="L12" s="77" t="e">
        <f t="shared" si="1"/>
        <v>#DIV/0!</v>
      </c>
      <c r="M12" s="77" t="e">
        <f t="shared" si="2"/>
        <v>#DIV/0!</v>
      </c>
      <c r="N12" s="77" t="e">
        <f t="shared" si="3"/>
        <v>#DIV/0!</v>
      </c>
      <c r="O12" s="77" t="e">
        <f t="shared" si="5"/>
        <v>#DIV/0!</v>
      </c>
      <c r="P12" s="77" t="e">
        <f t="shared" si="4"/>
        <v>#DIV/0!</v>
      </c>
    </row>
    <row r="13" spans="1:16" s="62" customFormat="1" ht="20.25" hidden="1" customHeight="1" x14ac:dyDescent="0.25">
      <c r="A13" s="70" t="s">
        <v>110</v>
      </c>
      <c r="B13" s="75" t="e">
        <f>'[2]SUIVI RETRAITE '!B17</f>
        <v>#DIV/0!</v>
      </c>
      <c r="C13" s="76">
        <f>'[2]SUIVI RETRAITE '!C17</f>
        <v>0</v>
      </c>
      <c r="D13" s="76">
        <f t="shared" si="6"/>
        <v>3428</v>
      </c>
      <c r="E13" s="76" t="e">
        <f t="shared" si="7"/>
        <v>#DIV/0!</v>
      </c>
      <c r="F13" s="76"/>
      <c r="G13" s="76"/>
      <c r="H13" s="76"/>
      <c r="I13" s="76"/>
      <c r="J13" s="76"/>
      <c r="K13" s="77" t="e">
        <f t="shared" si="0"/>
        <v>#DIV/0!</v>
      </c>
      <c r="L13" s="77" t="e">
        <f t="shared" si="1"/>
        <v>#DIV/0!</v>
      </c>
      <c r="M13" s="77" t="e">
        <f t="shared" si="2"/>
        <v>#DIV/0!</v>
      </c>
      <c r="N13" s="77" t="e">
        <f t="shared" si="3"/>
        <v>#DIV/0!</v>
      </c>
      <c r="O13" s="77" t="e">
        <f t="shared" si="5"/>
        <v>#DIV/0!</v>
      </c>
      <c r="P13" s="77" t="e">
        <f t="shared" si="4"/>
        <v>#DIV/0!</v>
      </c>
    </row>
    <row r="14" spans="1:16" s="62" customFormat="1" ht="20.25" hidden="1" customHeight="1" x14ac:dyDescent="0.25">
      <c r="A14" s="70" t="s">
        <v>111</v>
      </c>
      <c r="B14" s="75" t="e">
        <f>'[2]SUIVI RETRAITE '!B18</f>
        <v>#DIV/0!</v>
      </c>
      <c r="C14" s="76">
        <f>'[2]SUIVI RETRAITE '!C18</f>
        <v>0</v>
      </c>
      <c r="D14" s="76">
        <f t="shared" si="6"/>
        <v>3428</v>
      </c>
      <c r="E14" s="76" t="e">
        <f t="shared" si="7"/>
        <v>#DIV/0!</v>
      </c>
      <c r="F14" s="76"/>
      <c r="G14" s="76"/>
      <c r="H14" s="76"/>
      <c r="I14" s="76"/>
      <c r="J14" s="76"/>
      <c r="K14" s="77" t="e">
        <f t="shared" si="0"/>
        <v>#DIV/0!</v>
      </c>
      <c r="L14" s="77" t="e">
        <f t="shared" si="1"/>
        <v>#DIV/0!</v>
      </c>
      <c r="M14" s="77" t="e">
        <f t="shared" si="2"/>
        <v>#DIV/0!</v>
      </c>
      <c r="N14" s="77" t="e">
        <f t="shared" si="3"/>
        <v>#DIV/0!</v>
      </c>
      <c r="O14" s="77" t="e">
        <f t="shared" si="5"/>
        <v>#DIV/0!</v>
      </c>
      <c r="P14" s="77" t="e">
        <f t="shared" si="4"/>
        <v>#DIV/0!</v>
      </c>
    </row>
    <row r="15" spans="1:16" s="62" customFormat="1" ht="20.25" hidden="1" customHeight="1" x14ac:dyDescent="0.25">
      <c r="B15" s="78" t="e">
        <f>'[2]SUIVI RETRAITE '!B19</f>
        <v>#DIV/0!</v>
      </c>
      <c r="C15" s="79">
        <f>'[2]SUIVI RETRAITE '!C19</f>
        <v>0</v>
      </c>
      <c r="D15" s="64"/>
    </row>
    <row r="16" spans="1:16" ht="20.25" hidden="1" customHeight="1" x14ac:dyDescent="0.25"/>
    <row r="17" spans="1:18" ht="20.25" hidden="1" customHeight="1" x14ac:dyDescent="0.25"/>
    <row r="18" spans="1:18" ht="20.25" hidden="1" customHeight="1" x14ac:dyDescent="0.25">
      <c r="A18" t="s">
        <v>126</v>
      </c>
    </row>
    <row r="19" spans="1:18" s="62" customFormat="1" ht="20.25" hidden="1" customHeight="1" x14ac:dyDescent="0.25">
      <c r="A19" s="564" t="s">
        <v>127</v>
      </c>
      <c r="B19" s="564"/>
      <c r="C19" s="564"/>
      <c r="D19" s="564"/>
      <c r="E19" s="564"/>
      <c r="F19" s="564"/>
      <c r="G19" s="564"/>
      <c r="H19" s="564"/>
      <c r="I19" s="564"/>
      <c r="J19" s="564"/>
      <c r="K19" s="564"/>
      <c r="L19" s="564"/>
      <c r="M19" s="564"/>
      <c r="N19" s="768"/>
      <c r="O19" s="768"/>
      <c r="P19" s="768"/>
      <c r="Q19" s="768"/>
    </row>
    <row r="20" spans="1:18" s="62" customFormat="1" ht="12.75" customHeight="1" x14ac:dyDescent="0.25">
      <c r="A20" s="66"/>
      <c r="B20" s="185"/>
      <c r="C20" s="185"/>
      <c r="D20" s="185"/>
      <c r="E20" s="185"/>
      <c r="F20" s="185"/>
      <c r="G20" s="185"/>
      <c r="H20" s="185"/>
      <c r="I20" s="185"/>
      <c r="J20" s="66"/>
      <c r="K20" s="66"/>
      <c r="L20" s="66"/>
      <c r="M20" s="66"/>
      <c r="N20" s="184"/>
      <c r="O20" s="184"/>
      <c r="P20" s="184"/>
      <c r="Q20" s="184"/>
    </row>
    <row r="21" spans="1:18" s="62" customFormat="1" ht="25.5" customHeight="1" x14ac:dyDescent="0.25">
      <c r="B21" s="772" t="s">
        <v>435</v>
      </c>
      <c r="C21" s="772"/>
      <c r="D21" s="772"/>
      <c r="E21" s="772"/>
      <c r="F21" s="772"/>
      <c r="G21" s="772"/>
      <c r="H21" s="772"/>
      <c r="I21" s="772"/>
      <c r="J21" s="80"/>
      <c r="N21" s="769"/>
      <c r="O21" s="769"/>
      <c r="P21" s="769"/>
      <c r="Q21" s="769"/>
    </row>
    <row r="22" spans="1:18" s="62" customFormat="1" ht="20.25" hidden="1" customHeight="1" x14ac:dyDescent="0.25">
      <c r="A22" s="81" t="s">
        <v>128</v>
      </c>
      <c r="B22" s="81" t="s">
        <v>129</v>
      </c>
      <c r="C22" s="81" t="s">
        <v>130</v>
      </c>
      <c r="D22" s="81" t="s">
        <v>131</v>
      </c>
      <c r="E22" s="81" t="s">
        <v>132</v>
      </c>
      <c r="F22" s="81"/>
      <c r="G22" s="81"/>
      <c r="H22" s="81"/>
      <c r="I22" s="81"/>
      <c r="J22" s="81"/>
      <c r="K22" s="81" t="s">
        <v>133</v>
      </c>
      <c r="L22" s="81" t="s">
        <v>134</v>
      </c>
      <c r="M22" s="81" t="s">
        <v>135</v>
      </c>
      <c r="N22" s="81" t="s">
        <v>136</v>
      </c>
    </row>
    <row r="23" spans="1:18" s="83" customFormat="1" ht="20.25" hidden="1" customHeight="1" x14ac:dyDescent="0.2">
      <c r="A23" s="82" t="s">
        <v>84</v>
      </c>
      <c r="B23" s="82" t="s">
        <v>114</v>
      </c>
      <c r="C23" s="82" t="s">
        <v>115</v>
      </c>
      <c r="D23" s="82" t="s">
        <v>116</v>
      </c>
      <c r="E23" s="82" t="s">
        <v>117</v>
      </c>
      <c r="F23" s="82"/>
      <c r="G23" s="82"/>
      <c r="H23" s="82"/>
      <c r="I23" s="82"/>
      <c r="J23" s="82"/>
      <c r="K23" s="82" t="s">
        <v>137</v>
      </c>
      <c r="L23" s="82" t="s">
        <v>138</v>
      </c>
      <c r="M23" s="82" t="s">
        <v>122</v>
      </c>
      <c r="N23" s="82" t="s">
        <v>123</v>
      </c>
      <c r="R23" s="84"/>
    </row>
    <row r="24" spans="1:18" s="62" customFormat="1" ht="20.25" hidden="1" customHeight="1" x14ac:dyDescent="0.25">
      <c r="A24" s="85" t="s">
        <v>102</v>
      </c>
      <c r="B24" s="86">
        <f>'[2]SUIVI RETRAITE '!B7</f>
        <v>4910.7999999999993</v>
      </c>
      <c r="C24" s="87">
        <f>'[2]SUIVI RETRAITE '!C7</f>
        <v>3428</v>
      </c>
      <c r="D24" s="87">
        <f>C24</f>
        <v>3428</v>
      </c>
      <c r="E24" s="87">
        <f>B24</f>
        <v>4910.7999999999993</v>
      </c>
      <c r="F24" s="87"/>
      <c r="G24" s="87"/>
      <c r="H24" s="87"/>
      <c r="I24" s="87"/>
      <c r="J24" s="87"/>
      <c r="K24" s="88">
        <f>IF(E24&lt;D24,0,MIN(E24,D24))</f>
        <v>3428</v>
      </c>
      <c r="L24" s="87">
        <f>K24</f>
        <v>3428</v>
      </c>
      <c r="M24" s="88">
        <f>IF(E24&gt;8*D24,7*D24,IF(E24&lt;D24,0,E24-D24))</f>
        <v>1482.7999999999993</v>
      </c>
      <c r="N24" s="87">
        <f>M24</f>
        <v>1482.7999999999993</v>
      </c>
      <c r="R24" s="89"/>
    </row>
    <row r="25" spans="1:18" s="62" customFormat="1" ht="20.25" hidden="1" customHeight="1" x14ac:dyDescent="0.25">
      <c r="A25" s="85" t="s">
        <v>124</v>
      </c>
      <c r="B25" s="86">
        <f>'[2]SUIVI RETRAITE '!B8</f>
        <v>0</v>
      </c>
      <c r="C25" s="87">
        <f>'[2]SUIVI RETRAITE '!C8</f>
        <v>0</v>
      </c>
      <c r="D25" s="87">
        <f>D24+C25</f>
        <v>3428</v>
      </c>
      <c r="E25" s="87">
        <f>E24+B25</f>
        <v>4910.7999999999993</v>
      </c>
      <c r="F25" s="87"/>
      <c r="G25" s="87"/>
      <c r="H25" s="87"/>
      <c r="I25" s="87"/>
      <c r="J25" s="87"/>
      <c r="K25" s="87">
        <f t="shared" ref="K25:K35" si="8">IF(E25&lt;D25,0,MIN(E25,D25))</f>
        <v>3428</v>
      </c>
      <c r="L25" s="87">
        <f>K25-K24</f>
        <v>0</v>
      </c>
      <c r="M25" s="88">
        <f>IF(E25&gt;8*D25,7*D25,IF(E25&lt;D25,0,E25-D25))</f>
        <v>1482.7999999999993</v>
      </c>
      <c r="N25" s="87">
        <f>M25-M24</f>
        <v>0</v>
      </c>
      <c r="R25" s="89"/>
    </row>
    <row r="26" spans="1:18" s="62" customFormat="1" ht="20.25" hidden="1" customHeight="1" x14ac:dyDescent="0.25">
      <c r="A26" s="85" t="s">
        <v>103</v>
      </c>
      <c r="B26" s="86" t="e">
        <f>'[2]SUIVI RETRAITE '!B9</f>
        <v>#DIV/0!</v>
      </c>
      <c r="C26" s="87">
        <f>'[2]SUIVI RETRAITE '!C9</f>
        <v>0</v>
      </c>
      <c r="D26" s="87">
        <f>D25+C26</f>
        <v>3428</v>
      </c>
      <c r="E26" s="87" t="e">
        <f>E25+B26</f>
        <v>#DIV/0!</v>
      </c>
      <c r="F26" s="87"/>
      <c r="G26" s="87"/>
      <c r="H26" s="87"/>
      <c r="I26" s="87"/>
      <c r="J26" s="87"/>
      <c r="K26" s="87" t="e">
        <f t="shared" si="8"/>
        <v>#DIV/0!</v>
      </c>
      <c r="L26" s="87" t="e">
        <f>K26-K25</f>
        <v>#DIV/0!</v>
      </c>
      <c r="M26" s="88" t="e">
        <f t="shared" ref="M26:M35" si="9">IF(E26&gt;8*D26,7*D26,IF(E26&lt;D26,0,E26-D26))</f>
        <v>#DIV/0!</v>
      </c>
      <c r="N26" s="87" t="e">
        <f t="shared" ref="N26:N35" si="10">M26-M25</f>
        <v>#DIV/0!</v>
      </c>
      <c r="R26" s="89"/>
    </row>
    <row r="27" spans="1:18" s="62" customFormat="1" ht="20.25" hidden="1" customHeight="1" x14ac:dyDescent="0.25">
      <c r="A27" s="85" t="s">
        <v>125</v>
      </c>
      <c r="B27" s="86" t="e">
        <f>'[2]SUIVI RETRAITE '!B10</f>
        <v>#DIV/0!</v>
      </c>
      <c r="C27" s="87">
        <f>'[2]SUIVI RETRAITE '!C10</f>
        <v>0</v>
      </c>
      <c r="D27" s="87">
        <f>D26+C27</f>
        <v>3428</v>
      </c>
      <c r="E27" s="87" t="e">
        <f>E26+B27</f>
        <v>#DIV/0!</v>
      </c>
      <c r="F27" s="87"/>
      <c r="G27" s="87"/>
      <c r="H27" s="87"/>
      <c r="I27" s="87"/>
      <c r="J27" s="87"/>
      <c r="K27" s="87" t="e">
        <f t="shared" si="8"/>
        <v>#DIV/0!</v>
      </c>
      <c r="L27" s="87" t="e">
        <f t="shared" ref="L27:L35" si="11">K27-K26</f>
        <v>#DIV/0!</v>
      </c>
      <c r="M27" s="88" t="e">
        <f t="shared" si="9"/>
        <v>#DIV/0!</v>
      </c>
      <c r="N27" s="87" t="e">
        <f t="shared" si="10"/>
        <v>#DIV/0!</v>
      </c>
      <c r="R27" s="89"/>
    </row>
    <row r="28" spans="1:18" s="62" customFormat="1" ht="20.25" hidden="1" customHeight="1" x14ac:dyDescent="0.25">
      <c r="A28" s="85" t="s">
        <v>106</v>
      </c>
      <c r="B28" s="86" t="e">
        <f>'[2]SUIVI RETRAITE '!B11</f>
        <v>#DIV/0!</v>
      </c>
      <c r="C28" s="87">
        <f>'[2]SUIVI RETRAITE '!C11</f>
        <v>0</v>
      </c>
      <c r="D28" s="87">
        <f t="shared" ref="D28:D35" si="12">D27+C28</f>
        <v>3428</v>
      </c>
      <c r="E28" s="87" t="e">
        <f t="shared" ref="E28:E35" si="13">E27+B28</f>
        <v>#DIV/0!</v>
      </c>
      <c r="F28" s="87"/>
      <c r="G28" s="87"/>
      <c r="H28" s="87"/>
      <c r="I28" s="87"/>
      <c r="J28" s="87"/>
      <c r="K28" s="87" t="e">
        <f t="shared" si="8"/>
        <v>#DIV/0!</v>
      </c>
      <c r="L28" s="87" t="e">
        <f t="shared" si="11"/>
        <v>#DIV/0!</v>
      </c>
      <c r="M28" s="88" t="e">
        <f t="shared" si="9"/>
        <v>#DIV/0!</v>
      </c>
      <c r="N28" s="87" t="e">
        <f t="shared" si="10"/>
        <v>#DIV/0!</v>
      </c>
      <c r="R28" s="89"/>
    </row>
    <row r="29" spans="1:18" s="62" customFormat="1" ht="20.25" hidden="1" customHeight="1" x14ac:dyDescent="0.25">
      <c r="A29" s="85" t="s">
        <v>104</v>
      </c>
      <c r="B29" s="86" t="e">
        <f>'[2]SUIVI RETRAITE '!B12</f>
        <v>#DIV/0!</v>
      </c>
      <c r="C29" s="87">
        <f>'[2]SUIVI RETRAITE '!C12</f>
        <v>0</v>
      </c>
      <c r="D29" s="90">
        <f t="shared" si="12"/>
        <v>3428</v>
      </c>
      <c r="E29" s="90" t="e">
        <f t="shared" si="13"/>
        <v>#DIV/0!</v>
      </c>
      <c r="F29" s="90"/>
      <c r="G29" s="90"/>
      <c r="H29" s="90"/>
      <c r="I29" s="90"/>
      <c r="J29" s="90"/>
      <c r="K29" s="87" t="e">
        <f t="shared" si="8"/>
        <v>#DIV/0!</v>
      </c>
      <c r="L29" s="87" t="e">
        <f t="shared" si="11"/>
        <v>#DIV/0!</v>
      </c>
      <c r="M29" s="88" t="e">
        <f t="shared" si="9"/>
        <v>#DIV/0!</v>
      </c>
      <c r="N29" s="87" t="e">
        <f t="shared" si="10"/>
        <v>#DIV/0!</v>
      </c>
      <c r="R29" s="89"/>
    </row>
    <row r="30" spans="1:18" s="62" customFormat="1" ht="20.25" hidden="1" customHeight="1" x14ac:dyDescent="0.25">
      <c r="A30" s="85" t="s">
        <v>107</v>
      </c>
      <c r="B30" s="86" t="e">
        <f>'[2]SUIVI RETRAITE '!B13</f>
        <v>#DIV/0!</v>
      </c>
      <c r="C30" s="87">
        <f>'[2]SUIVI RETRAITE '!C13</f>
        <v>0</v>
      </c>
      <c r="D30" s="90">
        <f t="shared" si="12"/>
        <v>3428</v>
      </c>
      <c r="E30" s="90" t="e">
        <f t="shared" si="13"/>
        <v>#DIV/0!</v>
      </c>
      <c r="F30" s="90"/>
      <c r="G30" s="90"/>
      <c r="H30" s="90"/>
      <c r="I30" s="90"/>
      <c r="J30" s="90"/>
      <c r="K30" s="87" t="e">
        <f t="shared" si="8"/>
        <v>#DIV/0!</v>
      </c>
      <c r="L30" s="87" t="e">
        <f t="shared" si="11"/>
        <v>#DIV/0!</v>
      </c>
      <c r="M30" s="88" t="e">
        <f t="shared" si="9"/>
        <v>#DIV/0!</v>
      </c>
      <c r="N30" s="87" t="e">
        <f t="shared" si="10"/>
        <v>#DIV/0!</v>
      </c>
    </row>
    <row r="31" spans="1:18" s="62" customFormat="1" ht="20.25" hidden="1" customHeight="1" x14ac:dyDescent="0.25">
      <c r="A31" s="85" t="s">
        <v>108</v>
      </c>
      <c r="B31" s="86" t="e">
        <f>'[2]SUIVI RETRAITE '!B14</f>
        <v>#DIV/0!</v>
      </c>
      <c r="C31" s="87">
        <f>'[2]SUIVI RETRAITE '!C14</f>
        <v>0</v>
      </c>
      <c r="D31" s="90">
        <f t="shared" si="12"/>
        <v>3428</v>
      </c>
      <c r="E31" s="90" t="e">
        <f t="shared" si="13"/>
        <v>#DIV/0!</v>
      </c>
      <c r="F31" s="90"/>
      <c r="G31" s="90"/>
      <c r="H31" s="90"/>
      <c r="I31" s="90"/>
      <c r="J31" s="90"/>
      <c r="K31" s="87" t="e">
        <f t="shared" si="8"/>
        <v>#DIV/0!</v>
      </c>
      <c r="L31" s="87" t="e">
        <f t="shared" si="11"/>
        <v>#DIV/0!</v>
      </c>
      <c r="M31" s="88" t="e">
        <f t="shared" si="9"/>
        <v>#DIV/0!</v>
      </c>
      <c r="N31" s="87" t="e">
        <f t="shared" si="10"/>
        <v>#DIV/0!</v>
      </c>
    </row>
    <row r="32" spans="1:18" s="62" customFormat="1" ht="20.25" hidden="1" customHeight="1" x14ac:dyDescent="0.25">
      <c r="A32" s="85" t="s">
        <v>109</v>
      </c>
      <c r="B32" s="86" t="e">
        <f>'[2]SUIVI RETRAITE '!B15</f>
        <v>#DIV/0!</v>
      </c>
      <c r="C32" s="87">
        <f>'[2]SUIVI RETRAITE '!C15</f>
        <v>0</v>
      </c>
      <c r="D32" s="90">
        <f t="shared" si="12"/>
        <v>3428</v>
      </c>
      <c r="E32" s="90" t="e">
        <f t="shared" si="13"/>
        <v>#DIV/0!</v>
      </c>
      <c r="F32" s="90"/>
      <c r="G32" s="90"/>
      <c r="H32" s="90"/>
      <c r="I32" s="90"/>
      <c r="J32" s="90"/>
      <c r="K32" s="87" t="e">
        <f t="shared" si="8"/>
        <v>#DIV/0!</v>
      </c>
      <c r="L32" s="87" t="e">
        <f t="shared" si="11"/>
        <v>#DIV/0!</v>
      </c>
      <c r="M32" s="88" t="e">
        <f t="shared" si="9"/>
        <v>#DIV/0!</v>
      </c>
      <c r="N32" s="87" t="e">
        <f t="shared" si="10"/>
        <v>#DIV/0!</v>
      </c>
      <c r="R32" s="91"/>
    </row>
    <row r="33" spans="1:33" s="62" customFormat="1" ht="20.25" hidden="1" customHeight="1" x14ac:dyDescent="0.25">
      <c r="A33" s="85" t="s">
        <v>105</v>
      </c>
      <c r="B33" s="86" t="e">
        <f>'[2]SUIVI RETRAITE '!B16</f>
        <v>#DIV/0!</v>
      </c>
      <c r="C33" s="87">
        <f>'[2]SUIVI RETRAITE '!C16</f>
        <v>0</v>
      </c>
      <c r="D33" s="90">
        <f t="shared" si="12"/>
        <v>3428</v>
      </c>
      <c r="E33" s="90" t="e">
        <f t="shared" si="13"/>
        <v>#DIV/0!</v>
      </c>
      <c r="F33" s="90"/>
      <c r="G33" s="90"/>
      <c r="H33" s="90"/>
      <c r="I33" s="90"/>
      <c r="J33" s="90"/>
      <c r="K33" s="87" t="e">
        <f t="shared" si="8"/>
        <v>#DIV/0!</v>
      </c>
      <c r="L33" s="87" t="e">
        <f t="shared" si="11"/>
        <v>#DIV/0!</v>
      </c>
      <c r="M33" s="88" t="e">
        <f t="shared" si="9"/>
        <v>#DIV/0!</v>
      </c>
      <c r="N33" s="87" t="e">
        <f t="shared" si="10"/>
        <v>#DIV/0!</v>
      </c>
      <c r="R33" s="89"/>
    </row>
    <row r="34" spans="1:33" s="62" customFormat="1" ht="20.25" hidden="1" customHeight="1" x14ac:dyDescent="0.25">
      <c r="A34" s="85" t="s">
        <v>110</v>
      </c>
      <c r="B34" s="86" t="e">
        <f>'[2]SUIVI RETRAITE '!B17</f>
        <v>#DIV/0!</v>
      </c>
      <c r="C34" s="87">
        <f>'[2]SUIVI RETRAITE '!C17</f>
        <v>0</v>
      </c>
      <c r="D34" s="90">
        <f t="shared" si="12"/>
        <v>3428</v>
      </c>
      <c r="E34" s="90" t="e">
        <f t="shared" si="13"/>
        <v>#DIV/0!</v>
      </c>
      <c r="F34" s="90"/>
      <c r="G34" s="90"/>
      <c r="H34" s="90"/>
      <c r="I34" s="90"/>
      <c r="J34" s="90"/>
      <c r="K34" s="87" t="e">
        <f t="shared" si="8"/>
        <v>#DIV/0!</v>
      </c>
      <c r="L34" s="87" t="e">
        <f t="shared" si="11"/>
        <v>#DIV/0!</v>
      </c>
      <c r="M34" s="88" t="e">
        <f t="shared" si="9"/>
        <v>#DIV/0!</v>
      </c>
      <c r="N34" s="87" t="e">
        <f t="shared" si="10"/>
        <v>#DIV/0!</v>
      </c>
      <c r="R34" s="89"/>
    </row>
    <row r="35" spans="1:33" s="62" customFormat="1" ht="20.25" hidden="1" customHeight="1" x14ac:dyDescent="0.25">
      <c r="A35" s="85" t="s">
        <v>111</v>
      </c>
      <c r="B35" s="86" t="e">
        <f>'[2]SUIVI RETRAITE '!B18</f>
        <v>#DIV/0!</v>
      </c>
      <c r="C35" s="87">
        <f>'[2]SUIVI RETRAITE '!C18</f>
        <v>0</v>
      </c>
      <c r="D35" s="90">
        <f t="shared" si="12"/>
        <v>3428</v>
      </c>
      <c r="E35" s="90" t="e">
        <f t="shared" si="13"/>
        <v>#DIV/0!</v>
      </c>
      <c r="F35" s="90"/>
      <c r="G35" s="90"/>
      <c r="H35" s="90"/>
      <c r="I35" s="90"/>
      <c r="J35" s="90"/>
      <c r="K35" s="87" t="e">
        <f t="shared" si="8"/>
        <v>#DIV/0!</v>
      </c>
      <c r="L35" s="87" t="e">
        <f t="shared" si="11"/>
        <v>#DIV/0!</v>
      </c>
      <c r="M35" s="88" t="e">
        <f t="shared" si="9"/>
        <v>#DIV/0!</v>
      </c>
      <c r="N35" s="87" t="e">
        <f t="shared" si="10"/>
        <v>#DIV/0!</v>
      </c>
      <c r="R35" s="89"/>
    </row>
    <row r="36" spans="1:33" s="62" customFormat="1" ht="20.25" hidden="1" customHeight="1" x14ac:dyDescent="0.25">
      <c r="A36" s="92"/>
      <c r="B36" s="434" t="e">
        <f>'[2]SUIVI RETRAITE '!B19</f>
        <v>#DIV/0!</v>
      </c>
      <c r="C36" s="435">
        <f>'[2]SUIVI RETRAITE '!C19</f>
        <v>0</v>
      </c>
      <c r="D36" s="93"/>
      <c r="E36" s="93"/>
      <c r="F36" s="93"/>
      <c r="G36" s="93"/>
      <c r="H36" s="93"/>
      <c r="I36" s="93"/>
      <c r="J36" s="93"/>
      <c r="K36" s="93"/>
      <c r="L36" s="93"/>
      <c r="M36" s="94"/>
      <c r="N36" s="93"/>
      <c r="R36" s="89"/>
    </row>
    <row r="37" spans="1:33" s="62" customFormat="1" ht="20.25" customHeight="1" x14ac:dyDescent="0.25">
      <c r="A37" s="438"/>
      <c r="B37" s="438"/>
      <c r="C37" s="95"/>
      <c r="D37" s="95"/>
      <c r="E37" s="95"/>
      <c r="F37" s="95"/>
      <c r="G37" s="93"/>
      <c r="H37" s="93"/>
      <c r="I37" s="93"/>
      <c r="J37" s="93"/>
      <c r="K37" s="93"/>
      <c r="L37" s="93"/>
      <c r="M37" s="94"/>
      <c r="N37" s="93"/>
      <c r="R37" s="89"/>
    </row>
    <row r="38" spans="1:33" s="62" customFormat="1" ht="20.25" customHeight="1" x14ac:dyDescent="0.25">
      <c r="A38" s="439"/>
      <c r="B38" s="774" t="s">
        <v>113</v>
      </c>
      <c r="C38" s="775"/>
      <c r="D38" s="440"/>
      <c r="E38" s="773" t="s">
        <v>192</v>
      </c>
      <c r="F38" s="773"/>
      <c r="G38" s="769"/>
      <c r="H38" s="769"/>
      <c r="I38" s="769"/>
      <c r="J38" s="769"/>
      <c r="K38" s="769"/>
      <c r="L38" s="93"/>
      <c r="M38" s="94"/>
      <c r="N38" s="93"/>
      <c r="R38" s="89"/>
    </row>
    <row r="39" spans="1:33" ht="30" customHeight="1" x14ac:dyDescent="0.25">
      <c r="A39" s="439"/>
      <c r="B39" s="441"/>
      <c r="D39" s="97" t="s">
        <v>98</v>
      </c>
      <c r="E39" s="97" t="s">
        <v>144</v>
      </c>
      <c r="F39" s="98" t="s">
        <v>145</v>
      </c>
      <c r="G39" s="181"/>
      <c r="H39" s="165"/>
      <c r="I39" s="165"/>
      <c r="J39" s="165"/>
      <c r="L39" s="178" t="s">
        <v>144</v>
      </c>
      <c r="M39" s="98" t="s">
        <v>145</v>
      </c>
      <c r="N39" s="97" t="s">
        <v>144</v>
      </c>
      <c r="O39" s="98" t="s">
        <v>145</v>
      </c>
      <c r="P39" s="97" t="s">
        <v>144</v>
      </c>
      <c r="Q39" s="98" t="s">
        <v>145</v>
      </c>
      <c r="R39" s="97" t="s">
        <v>144</v>
      </c>
      <c r="S39" s="98" t="s">
        <v>145</v>
      </c>
      <c r="T39" s="97" t="s">
        <v>144</v>
      </c>
      <c r="U39" s="98" t="s">
        <v>145</v>
      </c>
      <c r="V39" s="97" t="s">
        <v>144</v>
      </c>
      <c r="W39" s="98" t="s">
        <v>145</v>
      </c>
      <c r="X39" s="97" t="s">
        <v>144</v>
      </c>
      <c r="Y39" s="98" t="s">
        <v>145</v>
      </c>
      <c r="Z39" s="97" t="s">
        <v>144</v>
      </c>
      <c r="AA39" s="98" t="s">
        <v>145</v>
      </c>
      <c r="AB39" s="97" t="s">
        <v>144</v>
      </c>
      <c r="AC39" s="98" t="s">
        <v>145</v>
      </c>
      <c r="AD39" s="97" t="s">
        <v>144</v>
      </c>
      <c r="AE39" s="98" t="s">
        <v>145</v>
      </c>
      <c r="AF39" s="97" t="s">
        <v>144</v>
      </c>
      <c r="AG39" s="98" t="s">
        <v>145</v>
      </c>
    </row>
    <row r="40" spans="1:33" ht="20.25" customHeight="1" x14ac:dyDescent="0.25">
      <c r="A40" s="439"/>
      <c r="B40" s="771" t="s">
        <v>39</v>
      </c>
      <c r="C40" s="725"/>
      <c r="D40" s="433">
        <f>'BP FORMAT JUILLET 2023'!D51</f>
        <v>6.9000000000000006E-2</v>
      </c>
      <c r="E40" s="100">
        <f>'BP FORMAT JUILLET 2023'!C51</f>
        <v>3933.2904575440102</v>
      </c>
      <c r="F40" s="101">
        <f>ROUND(E40*D40,2)</f>
        <v>271.39999999999998</v>
      </c>
      <c r="G40" s="182"/>
      <c r="H40" s="166"/>
      <c r="I40" s="166"/>
      <c r="J40" s="166"/>
      <c r="L40" s="179">
        <f>L4</f>
        <v>0</v>
      </c>
      <c r="M40" s="101">
        <f>ROUND(L40*D40/100,2)</f>
        <v>0</v>
      </c>
      <c r="N40" s="101" t="e">
        <f>L5</f>
        <v>#DIV/0!</v>
      </c>
      <c r="O40" s="101" t="e">
        <f>ROUND(N40*D40/100,2)</f>
        <v>#DIV/0!</v>
      </c>
      <c r="P40" s="101" t="e">
        <f>L6</f>
        <v>#DIV/0!</v>
      </c>
      <c r="Q40" s="101" t="e">
        <f>ROUND(P40*D40/100,2)</f>
        <v>#DIV/0!</v>
      </c>
      <c r="R40" s="101" t="e">
        <f>L7</f>
        <v>#DIV/0!</v>
      </c>
      <c r="S40" s="101" t="e">
        <f>ROUND(R40*D40/100,2)</f>
        <v>#DIV/0!</v>
      </c>
      <c r="T40" s="101" t="e">
        <f>+L8</f>
        <v>#DIV/0!</v>
      </c>
      <c r="U40" s="101" t="e">
        <f>+ROUND(T40*D40/100,2)</f>
        <v>#DIV/0!</v>
      </c>
      <c r="V40" s="102" t="e">
        <f>L9</f>
        <v>#DIV/0!</v>
      </c>
      <c r="W40" s="103" t="e">
        <f>ROUND(V40*D40/100,2)</f>
        <v>#DIV/0!</v>
      </c>
      <c r="X40" s="102" t="e">
        <f>L10</f>
        <v>#DIV/0!</v>
      </c>
      <c r="Y40" s="103" t="e">
        <f>ROUND(X40*D40/100,2)</f>
        <v>#DIV/0!</v>
      </c>
      <c r="Z40" s="102" t="e">
        <f>L11</f>
        <v>#DIV/0!</v>
      </c>
      <c r="AA40" s="103" t="e">
        <f>ROUND(Z40*D40/100,2)</f>
        <v>#DIV/0!</v>
      </c>
      <c r="AB40" s="102" t="e">
        <f>L12</f>
        <v>#DIV/0!</v>
      </c>
      <c r="AC40" s="104" t="e">
        <f>ROUND(AB40*D40/100,2)</f>
        <v>#DIV/0!</v>
      </c>
      <c r="AD40" s="102" t="e">
        <f>L13</f>
        <v>#DIV/0!</v>
      </c>
      <c r="AE40" s="104" t="e">
        <f>ROUND(AD40*D40/100,2)</f>
        <v>#DIV/0!</v>
      </c>
      <c r="AF40" s="102" t="e">
        <f>L14</f>
        <v>#DIV/0!</v>
      </c>
      <c r="AG40" s="104" t="e">
        <f>ROUND(AF40*D40/100,2)</f>
        <v>#DIV/0!</v>
      </c>
    </row>
    <row r="41" spans="1:33" ht="20.25" customHeight="1" x14ac:dyDescent="0.25">
      <c r="A41" s="439"/>
      <c r="B41" s="771" t="s">
        <v>40</v>
      </c>
      <c r="C41" s="725"/>
      <c r="D41" s="433">
        <f>'BP FORMAT JUILLET 2023'!D52</f>
        <v>4.0000000000000001E-3</v>
      </c>
      <c r="E41" s="100">
        <f>'BP FORMAT JUILLET 2023'!C52</f>
        <v>3933.2904575440102</v>
      </c>
      <c r="F41" s="101">
        <f t="shared" ref="F41:F47" si="14">ROUND(E41*D41,2)</f>
        <v>15.73</v>
      </c>
      <c r="G41" s="182"/>
      <c r="H41" s="166"/>
      <c r="I41" s="166"/>
      <c r="J41" s="166"/>
      <c r="L41" s="179">
        <f>B4</f>
        <v>0</v>
      </c>
      <c r="M41" s="101">
        <f t="shared" ref="M41:M48" si="15">ROUND(L41*D41/100,2)</f>
        <v>0</v>
      </c>
      <c r="N41" s="101" t="e">
        <f>B5</f>
        <v>#DIV/0!</v>
      </c>
      <c r="O41" s="101" t="e">
        <f t="shared" ref="O41:O48" si="16">ROUND(N41*D41/100,2)</f>
        <v>#DIV/0!</v>
      </c>
      <c r="P41" s="101" t="e">
        <f>B6</f>
        <v>#DIV/0!</v>
      </c>
      <c r="Q41" s="101" t="e">
        <f t="shared" ref="Q41:Q48" si="17">ROUND(P41*D41/100,2)</f>
        <v>#DIV/0!</v>
      </c>
      <c r="R41" s="101" t="e">
        <f>B7</f>
        <v>#DIV/0!</v>
      </c>
      <c r="S41" s="101" t="e">
        <f t="shared" ref="S41:S46" si="18">ROUND(R41*D41/100,2)</f>
        <v>#DIV/0!</v>
      </c>
      <c r="T41" s="101" t="e">
        <f>E8</f>
        <v>#DIV/0!</v>
      </c>
      <c r="U41" s="101" t="e">
        <f>ROUND(T41*D41/100,2)</f>
        <v>#DIV/0!</v>
      </c>
      <c r="V41" s="105" t="e">
        <f>E9</f>
        <v>#DIV/0!</v>
      </c>
      <c r="W41" s="104" t="e">
        <f>ROUND(V41*D41/100,2)</f>
        <v>#DIV/0!</v>
      </c>
      <c r="X41" s="102" t="e">
        <f>E10</f>
        <v>#DIV/0!</v>
      </c>
      <c r="Y41" s="104" t="e">
        <f>ROUND(X41*D41/100,2)</f>
        <v>#DIV/0!</v>
      </c>
      <c r="Z41" s="102" t="e">
        <f>E11</f>
        <v>#DIV/0!</v>
      </c>
      <c r="AA41" s="104" t="e">
        <f>ROUND(Z41*D41/100,2)</f>
        <v>#DIV/0!</v>
      </c>
      <c r="AB41" s="102" t="e">
        <f>E12</f>
        <v>#DIV/0!</v>
      </c>
      <c r="AC41" s="104" t="e">
        <f>ROUND(AB41*D41/100,2)</f>
        <v>#DIV/0!</v>
      </c>
      <c r="AD41" s="102" t="e">
        <f>E13</f>
        <v>#DIV/0!</v>
      </c>
      <c r="AE41" s="104" t="e">
        <f>ROUND(AD41*D41/100,2)</f>
        <v>#DIV/0!</v>
      </c>
      <c r="AF41" s="102" t="e">
        <f>E14</f>
        <v>#DIV/0!</v>
      </c>
      <c r="AG41" s="104" t="e">
        <f>ROUND(AF41*D41/100,2)</f>
        <v>#DIV/0!</v>
      </c>
    </row>
    <row r="42" spans="1:33" ht="20.25" customHeight="1" x14ac:dyDescent="0.25">
      <c r="A42" s="439"/>
      <c r="B42" s="771" t="s">
        <v>41</v>
      </c>
      <c r="C42" s="725"/>
      <c r="D42" s="433">
        <f>'BP FORMAT JUILLET 2023'!D53</f>
        <v>4.0099999999999997E-2</v>
      </c>
      <c r="E42" s="100">
        <f>'BP FORMAT JUILLET 2023'!C53</f>
        <v>3933.2904575440102</v>
      </c>
      <c r="F42" s="101">
        <f t="shared" si="14"/>
        <v>157.72</v>
      </c>
      <c r="G42" s="182"/>
      <c r="H42" s="166"/>
      <c r="I42" s="166"/>
      <c r="J42" s="166"/>
      <c r="L42" s="179">
        <f>L4</f>
        <v>0</v>
      </c>
      <c r="M42" s="101">
        <f t="shared" si="15"/>
        <v>0</v>
      </c>
      <c r="N42" s="101" t="e">
        <f>L5</f>
        <v>#DIV/0!</v>
      </c>
      <c r="O42" s="101" t="e">
        <f t="shared" si="16"/>
        <v>#DIV/0!</v>
      </c>
      <c r="P42" s="101" t="e">
        <f>P40</f>
        <v>#DIV/0!</v>
      </c>
      <c r="Q42" s="101" t="e">
        <f t="shared" si="17"/>
        <v>#DIV/0!</v>
      </c>
      <c r="R42" s="101" t="e">
        <f>R40</f>
        <v>#DIV/0!</v>
      </c>
      <c r="S42" s="101" t="e">
        <f t="shared" si="18"/>
        <v>#DIV/0!</v>
      </c>
      <c r="T42" s="101" t="e">
        <f>T40</f>
        <v>#DIV/0!</v>
      </c>
      <c r="U42" s="101" t="e">
        <f t="shared" ref="U42:U47" si="19">ROUND(T42*D42/100,2)</f>
        <v>#DIV/0!</v>
      </c>
      <c r="V42" s="102" t="e">
        <f>V40</f>
        <v>#DIV/0!</v>
      </c>
      <c r="W42" s="103" t="e">
        <f>ROUND(V42*D42/100,2)</f>
        <v>#DIV/0!</v>
      </c>
      <c r="X42" s="102" t="e">
        <f>X40</f>
        <v>#DIV/0!</v>
      </c>
      <c r="Y42" s="104" t="e">
        <f>ROUND(X42*D42/100,2)</f>
        <v>#DIV/0!</v>
      </c>
      <c r="Z42" s="102" t="e">
        <f>Z40</f>
        <v>#DIV/0!</v>
      </c>
      <c r="AA42" s="104" t="e">
        <f>ROUND(Z42*D42/100,2)</f>
        <v>#DIV/0!</v>
      </c>
      <c r="AB42" s="102" t="e">
        <f>AB40</f>
        <v>#DIV/0!</v>
      </c>
      <c r="AC42" s="104" t="e">
        <f>ROUND(AB42*D42/100,2)</f>
        <v>#DIV/0!</v>
      </c>
      <c r="AD42" s="102" t="e">
        <f>AD40</f>
        <v>#DIV/0!</v>
      </c>
      <c r="AE42" s="104" t="e">
        <f>ROUND(AD42*D42/100,2)</f>
        <v>#DIV/0!</v>
      </c>
      <c r="AF42" s="102" t="e">
        <f>AF40</f>
        <v>#DIV/0!</v>
      </c>
      <c r="AG42" s="104" t="e">
        <f>ROUND(AF42*D42/100,2)</f>
        <v>#DIV/0!</v>
      </c>
    </row>
    <row r="43" spans="1:33" ht="20.25" customHeight="1" x14ac:dyDescent="0.25">
      <c r="A43" s="439"/>
      <c r="B43" s="771" t="s">
        <v>42</v>
      </c>
      <c r="C43" s="725"/>
      <c r="D43" s="433">
        <f>'BP FORMAT JUILLET 2023'!D54</f>
        <v>0</v>
      </c>
      <c r="E43" s="100">
        <f>+E41-E42</f>
        <v>0</v>
      </c>
      <c r="F43" s="101">
        <f t="shared" si="14"/>
        <v>0</v>
      </c>
      <c r="G43" s="182"/>
      <c r="H43" s="166"/>
      <c r="I43" s="166"/>
      <c r="J43" s="166"/>
      <c r="L43" s="179">
        <f>P4</f>
        <v>0</v>
      </c>
      <c r="M43" s="101">
        <f>ROUND(L43*D43/100,2)</f>
        <v>0</v>
      </c>
      <c r="N43" s="101" t="e">
        <f>P5</f>
        <v>#DIV/0!</v>
      </c>
      <c r="O43" s="101" t="e">
        <f t="shared" si="16"/>
        <v>#DIV/0!</v>
      </c>
      <c r="P43" s="101" t="e">
        <f>P6</f>
        <v>#DIV/0!</v>
      </c>
      <c r="Q43" s="101" t="e">
        <f t="shared" si="17"/>
        <v>#DIV/0!</v>
      </c>
      <c r="R43" s="101" t="e">
        <f>P7</f>
        <v>#DIV/0!</v>
      </c>
      <c r="S43" s="101" t="e">
        <f t="shared" si="18"/>
        <v>#DIV/0!</v>
      </c>
      <c r="T43" s="101" t="e">
        <f>P8</f>
        <v>#DIV/0!</v>
      </c>
      <c r="U43" s="101" t="e">
        <f t="shared" si="19"/>
        <v>#DIV/0!</v>
      </c>
      <c r="V43" s="102" t="e">
        <f>P9</f>
        <v>#DIV/0!</v>
      </c>
      <c r="W43" s="104" t="e">
        <f>ROUND(V43*D43/100,2)</f>
        <v>#DIV/0!</v>
      </c>
      <c r="X43" s="102" t="e">
        <f>P10</f>
        <v>#DIV/0!</v>
      </c>
      <c r="Y43" s="104" t="e">
        <f>ROUND(X43*D43/100,2)</f>
        <v>#DIV/0!</v>
      </c>
      <c r="Z43" s="102" t="e">
        <f>P11</f>
        <v>#DIV/0!</v>
      </c>
      <c r="AA43" s="104" t="e">
        <f>ROUND(Z43*D43/100,2)</f>
        <v>#DIV/0!</v>
      </c>
      <c r="AB43" s="102" t="e">
        <f>P12</f>
        <v>#DIV/0!</v>
      </c>
      <c r="AC43" s="104" t="e">
        <f>ROUND(AB43*D43/100,2)</f>
        <v>#DIV/0!</v>
      </c>
      <c r="AD43" s="102" t="e">
        <f>P13</f>
        <v>#DIV/0!</v>
      </c>
      <c r="AE43" s="104" t="e">
        <f>ROUND(AD43*D43/100,2)</f>
        <v>#DIV/0!</v>
      </c>
      <c r="AF43" s="102" t="e">
        <f>P14</f>
        <v>#DIV/0!</v>
      </c>
      <c r="AG43" s="104" t="e">
        <f>ROUND(AF43*D43/100,2)</f>
        <v>#DIV/0!</v>
      </c>
    </row>
    <row r="44" spans="1:33" ht="21.75" hidden="1" customHeight="1" x14ac:dyDescent="0.25">
      <c r="A44" s="439"/>
      <c r="B44" s="771"/>
      <c r="C44" s="725"/>
      <c r="D44" s="99"/>
      <c r="E44" s="100"/>
      <c r="F44" s="101">
        <f t="shared" si="14"/>
        <v>0</v>
      </c>
      <c r="G44" s="182"/>
      <c r="H44" s="166"/>
      <c r="I44" s="166"/>
      <c r="J44" s="166"/>
      <c r="L44" s="179">
        <f>L42</f>
        <v>0</v>
      </c>
      <c r="M44" s="101">
        <f t="shared" si="15"/>
        <v>0</v>
      </c>
      <c r="N44" s="101" t="e">
        <f>N42</f>
        <v>#DIV/0!</v>
      </c>
      <c r="O44" s="101" t="e">
        <f t="shared" si="16"/>
        <v>#DIV/0!</v>
      </c>
      <c r="P44" s="101" t="e">
        <f>P42</f>
        <v>#DIV/0!</v>
      </c>
      <c r="Q44" s="101" t="e">
        <f t="shared" si="17"/>
        <v>#DIV/0!</v>
      </c>
      <c r="R44" s="101" t="e">
        <f>R42</f>
        <v>#DIV/0!</v>
      </c>
      <c r="S44" s="101" t="e">
        <f t="shared" si="18"/>
        <v>#DIV/0!</v>
      </c>
      <c r="T44" s="101" t="e">
        <f>T42</f>
        <v>#DIV/0!</v>
      </c>
      <c r="U44" s="101" t="e">
        <f t="shared" si="19"/>
        <v>#DIV/0!</v>
      </c>
      <c r="V44" s="102" t="e">
        <f>V42</f>
        <v>#DIV/0!</v>
      </c>
      <c r="W44" s="104" t="e">
        <f>ROUND(V44*D44/100,2)</f>
        <v>#DIV/0!</v>
      </c>
      <c r="X44" s="102" t="e">
        <f>+X42</f>
        <v>#DIV/0!</v>
      </c>
      <c r="Y44" s="104" t="e">
        <f>ROUND($D$44*X44/100,2)</f>
        <v>#DIV/0!</v>
      </c>
      <c r="Z44" s="102" t="e">
        <f>+Z42</f>
        <v>#DIV/0!</v>
      </c>
      <c r="AA44" s="104" t="e">
        <f>ROUND($D$44*Z44/100,2)</f>
        <v>#DIV/0!</v>
      </c>
      <c r="AB44" s="102" t="e">
        <f>+AB42</f>
        <v>#DIV/0!</v>
      </c>
      <c r="AC44" s="104" t="e">
        <f>ROUND($D$44*AB44/100,2)</f>
        <v>#DIV/0!</v>
      </c>
      <c r="AD44" s="102" t="e">
        <f>+AD42</f>
        <v>#DIV/0!</v>
      </c>
      <c r="AE44" s="104" t="e">
        <f>ROUND($D$44*AD44/100,2)</f>
        <v>#DIV/0!</v>
      </c>
      <c r="AF44" s="102" t="e">
        <f>+AF42</f>
        <v>#DIV/0!</v>
      </c>
      <c r="AG44" s="104" t="e">
        <f>ROUND($D$44*AF44/100,2)</f>
        <v>#DIV/0!</v>
      </c>
    </row>
    <row r="45" spans="1:33" ht="21.75" hidden="1" customHeight="1" x14ac:dyDescent="0.25">
      <c r="A45" s="439"/>
      <c r="B45" s="771"/>
      <c r="C45" s="725"/>
      <c r="D45" s="99"/>
      <c r="E45" s="100"/>
      <c r="F45" s="101">
        <f t="shared" si="14"/>
        <v>0</v>
      </c>
      <c r="G45" s="182"/>
      <c r="H45" s="166"/>
      <c r="I45" s="166"/>
      <c r="J45" s="166"/>
      <c r="L45" s="179">
        <f>L43</f>
        <v>0</v>
      </c>
      <c r="M45" s="101">
        <f t="shared" si="15"/>
        <v>0</v>
      </c>
      <c r="N45" s="101" t="e">
        <f>N43</f>
        <v>#DIV/0!</v>
      </c>
      <c r="O45" s="101" t="e">
        <f t="shared" si="16"/>
        <v>#DIV/0!</v>
      </c>
      <c r="P45" s="101" t="e">
        <f>P43</f>
        <v>#DIV/0!</v>
      </c>
      <c r="Q45" s="101" t="e">
        <f t="shared" si="17"/>
        <v>#DIV/0!</v>
      </c>
      <c r="R45" s="101" t="e">
        <f>R43</f>
        <v>#DIV/0!</v>
      </c>
      <c r="S45" s="101" t="e">
        <f t="shared" si="18"/>
        <v>#DIV/0!</v>
      </c>
      <c r="T45" s="101" t="e">
        <f>T43</f>
        <v>#DIV/0!</v>
      </c>
      <c r="U45" s="101" t="e">
        <f t="shared" si="19"/>
        <v>#DIV/0!</v>
      </c>
      <c r="V45" s="102" t="e">
        <f>V43</f>
        <v>#DIV/0!</v>
      </c>
      <c r="W45" s="104" t="e">
        <f>ROUND($D$45*V45/100,2)</f>
        <v>#DIV/0!</v>
      </c>
      <c r="X45" s="102" t="e">
        <f>X43</f>
        <v>#DIV/0!</v>
      </c>
      <c r="Y45" s="104" t="e">
        <f>ROUND($D$45*X45/100,2)</f>
        <v>#DIV/0!</v>
      </c>
      <c r="Z45" s="102" t="e">
        <f>Z43</f>
        <v>#DIV/0!</v>
      </c>
      <c r="AA45" s="104" t="e">
        <f>ROUND($D$45*Z45/100,2)</f>
        <v>#DIV/0!</v>
      </c>
      <c r="AB45" s="102" t="e">
        <f>AB43</f>
        <v>#DIV/0!</v>
      </c>
      <c r="AC45" s="104" t="e">
        <f>ROUND($D$45*AB45/100,2)</f>
        <v>#DIV/0!</v>
      </c>
      <c r="AD45" s="102" t="e">
        <f>AD43</f>
        <v>#DIV/0!</v>
      </c>
      <c r="AE45" s="104" t="e">
        <f>ROUND($D$45*AD45/100,2)</f>
        <v>#DIV/0!</v>
      </c>
      <c r="AF45" s="102" t="e">
        <f>AF43</f>
        <v>#DIV/0!</v>
      </c>
      <c r="AG45" s="104" t="e">
        <f>ROUND($D$45*AF45/100,2)</f>
        <v>#DIV/0!</v>
      </c>
    </row>
    <row r="46" spans="1:33" ht="21.75" hidden="1" customHeight="1" x14ac:dyDescent="0.25">
      <c r="A46" s="439"/>
      <c r="B46" s="771"/>
      <c r="C46" s="725"/>
      <c r="D46" s="99"/>
      <c r="E46" s="100"/>
      <c r="F46" s="101">
        <f t="shared" si="14"/>
        <v>0</v>
      </c>
      <c r="G46" s="182"/>
      <c r="H46" s="166"/>
      <c r="I46" s="166"/>
      <c r="J46" s="166"/>
      <c r="L46" s="179">
        <f>L25</f>
        <v>0</v>
      </c>
      <c r="M46" s="101">
        <f t="shared" si="15"/>
        <v>0</v>
      </c>
      <c r="N46" s="101" t="e">
        <f>L26</f>
        <v>#DIV/0!</v>
      </c>
      <c r="O46" s="101" t="e">
        <f t="shared" si="16"/>
        <v>#DIV/0!</v>
      </c>
      <c r="P46" s="101" t="e">
        <f>L27</f>
        <v>#DIV/0!</v>
      </c>
      <c r="Q46" s="101" t="e">
        <f t="shared" si="17"/>
        <v>#DIV/0!</v>
      </c>
      <c r="R46" s="101" t="e">
        <f>L28</f>
        <v>#DIV/0!</v>
      </c>
      <c r="S46" s="101" t="e">
        <f t="shared" si="18"/>
        <v>#DIV/0!</v>
      </c>
      <c r="T46" s="101" t="e">
        <f>L29</f>
        <v>#DIV/0!</v>
      </c>
      <c r="U46" s="101" t="e">
        <f t="shared" si="19"/>
        <v>#DIV/0!</v>
      </c>
      <c r="V46" s="102" t="e">
        <f>L30</f>
        <v>#DIV/0!</v>
      </c>
      <c r="W46" s="103" t="e">
        <f>ROUND(V46*$D$46/100,2)</f>
        <v>#DIV/0!</v>
      </c>
      <c r="X46" s="102" t="e">
        <f>L31</f>
        <v>#DIV/0!</v>
      </c>
      <c r="Y46" s="104" t="e">
        <f>ROUND(X46*$D$46/100,2)</f>
        <v>#DIV/0!</v>
      </c>
      <c r="Z46" s="102" t="e">
        <f>L32</f>
        <v>#DIV/0!</v>
      </c>
      <c r="AA46" s="104" t="e">
        <f>ROUND(Z46*$D$46/100,2)</f>
        <v>#DIV/0!</v>
      </c>
      <c r="AB46" s="102" t="e">
        <f>L33</f>
        <v>#DIV/0!</v>
      </c>
      <c r="AC46" s="104" t="e">
        <f>ROUND(AB46*$D$46/100,2)</f>
        <v>#DIV/0!</v>
      </c>
      <c r="AD46" s="102" t="e">
        <f>L34</f>
        <v>#DIV/0!</v>
      </c>
      <c r="AE46" s="104" t="e">
        <f>ROUND(AD46*$D$46/100,2)</f>
        <v>#DIV/0!</v>
      </c>
      <c r="AF46" s="102" t="e">
        <f>L35</f>
        <v>#DIV/0!</v>
      </c>
      <c r="AG46" s="104" t="e">
        <f>ROUND(AF46*$D$46/100,2)</f>
        <v>#DIV/0!</v>
      </c>
    </row>
    <row r="47" spans="1:33" ht="21.75" hidden="1" customHeight="1" x14ac:dyDescent="0.25">
      <c r="A47" s="439"/>
      <c r="B47" s="771"/>
      <c r="C47" s="725"/>
      <c r="D47" s="99"/>
      <c r="E47" s="100"/>
      <c r="F47" s="101">
        <f t="shared" si="14"/>
        <v>0</v>
      </c>
      <c r="G47" s="182"/>
      <c r="H47" s="166"/>
      <c r="I47" s="166"/>
      <c r="J47" s="166"/>
      <c r="L47" s="179">
        <f>N25</f>
        <v>0</v>
      </c>
      <c r="M47" s="101">
        <f t="shared" si="15"/>
        <v>0</v>
      </c>
      <c r="N47" s="101" t="e">
        <f>N26</f>
        <v>#DIV/0!</v>
      </c>
      <c r="O47" s="101" t="e">
        <f t="shared" si="16"/>
        <v>#DIV/0!</v>
      </c>
      <c r="P47" s="101" t="e">
        <f>N27</f>
        <v>#DIV/0!</v>
      </c>
      <c r="Q47" s="101" t="e">
        <f t="shared" si="17"/>
        <v>#DIV/0!</v>
      </c>
      <c r="R47" s="101" t="e">
        <f>N28</f>
        <v>#DIV/0!</v>
      </c>
      <c r="S47" s="101" t="e">
        <f>ROUND(D47*R47/100,2)</f>
        <v>#DIV/0!</v>
      </c>
      <c r="T47" s="101" t="e">
        <f>N29</f>
        <v>#DIV/0!</v>
      </c>
      <c r="U47" s="101" t="e">
        <f t="shared" si="19"/>
        <v>#DIV/0!</v>
      </c>
      <c r="V47" s="102" t="e">
        <f>N30</f>
        <v>#DIV/0!</v>
      </c>
      <c r="W47" s="104" t="e">
        <f>ROUND(V47*D47/100,2)</f>
        <v>#DIV/0!</v>
      </c>
      <c r="X47" s="102" t="e">
        <f>N31</f>
        <v>#DIV/0!</v>
      </c>
      <c r="Y47" s="104" t="e">
        <f>ROUND(X47*D47/100,2)</f>
        <v>#DIV/0!</v>
      </c>
      <c r="Z47" s="102" t="e">
        <f>N32</f>
        <v>#DIV/0!</v>
      </c>
      <c r="AA47" s="104" t="e">
        <f>ROUND(D47*Z47/100,2)</f>
        <v>#DIV/0!</v>
      </c>
      <c r="AB47" s="102" t="e">
        <f>N33</f>
        <v>#DIV/0!</v>
      </c>
      <c r="AC47" s="104" t="e">
        <f>ROUND(D47*AB47/100,2)</f>
        <v>#DIV/0!</v>
      </c>
      <c r="AD47" s="102" t="e">
        <f>N34</f>
        <v>#DIV/0!</v>
      </c>
      <c r="AE47" s="104" t="e">
        <f>ROUND(D47*AD47/100,2)</f>
        <v>#DIV/0!</v>
      </c>
      <c r="AF47" s="102" t="e">
        <f>N35</f>
        <v>#DIV/0!</v>
      </c>
      <c r="AG47" s="104" t="e">
        <f>ROUND(AF47*D47/100,2)</f>
        <v>#DIV/0!</v>
      </c>
    </row>
    <row r="48" spans="1:33" ht="21.75" hidden="1" customHeight="1" x14ac:dyDescent="0.25">
      <c r="A48" s="439"/>
      <c r="B48" s="771"/>
      <c r="C48" s="725"/>
      <c r="D48" s="380"/>
      <c r="E48" s="160"/>
      <c r="F48" s="101"/>
      <c r="G48" s="122"/>
      <c r="H48" s="166"/>
      <c r="I48" s="166"/>
      <c r="J48" s="166"/>
      <c r="L48" s="179">
        <f>'[2]BP FEVRIER    '!C102</f>
        <v>0</v>
      </c>
      <c r="M48" s="101">
        <f t="shared" si="15"/>
        <v>0</v>
      </c>
      <c r="N48" s="101" t="e">
        <f>'[2]BP MARS   '!C102</f>
        <v>#DIV/0!</v>
      </c>
      <c r="O48" s="101" t="e">
        <f t="shared" si="16"/>
        <v>#DIV/0!</v>
      </c>
      <c r="P48" s="101" t="e">
        <f>'[2]BP AVRIL    '!C102</f>
        <v>#DIV/0!</v>
      </c>
      <c r="Q48" s="101" t="e">
        <f t="shared" si="17"/>
        <v>#DIV/0!</v>
      </c>
      <c r="R48" s="101" t="e">
        <f>'[2]BP MAI     '!C102</f>
        <v>#DIV/0!</v>
      </c>
      <c r="S48" s="101" t="e">
        <f>'[2]BP MAI     '!F102</f>
        <v>#DIV/0!</v>
      </c>
      <c r="T48" s="107" t="e">
        <f>'[2]BP  JUIN '!C102</f>
        <v>#DIV/0!</v>
      </c>
      <c r="U48" s="101" t="e">
        <f>ROUND(T48*D48/100,2)</f>
        <v>#DIV/0!</v>
      </c>
      <c r="V48" s="102" t="e">
        <f>+T48+'[2]BP JUILLET '!C102</f>
        <v>#DIV/0!</v>
      </c>
      <c r="W48" s="103" t="e">
        <f>ROUND(V48*$D$48/100,2)</f>
        <v>#DIV/0!</v>
      </c>
      <c r="X48" s="107" t="e">
        <f>V48+'[2]BP AOUT '!C101</f>
        <v>#DIV/0!</v>
      </c>
      <c r="Y48" s="104" t="e">
        <f>ROUND(X48*$D$48/100,2)</f>
        <v>#DIV/0!</v>
      </c>
      <c r="Z48" s="107" t="e">
        <f>X48+'[2]BP SEPTEMBRE '!C101</f>
        <v>#DIV/0!</v>
      </c>
      <c r="AA48" s="104" t="e">
        <f>ROUND(Z48*$D$48/100,2)</f>
        <v>#DIV/0!</v>
      </c>
      <c r="AB48" s="107" t="e">
        <f>Z48+'[2]BP OCTOBRE '!C101</f>
        <v>#DIV/0!</v>
      </c>
      <c r="AC48" s="104" t="e">
        <f>ROUND(AB48*$D$48/100,2)</f>
        <v>#DIV/0!</v>
      </c>
      <c r="AD48" s="107" t="e">
        <f>AB48+'[2]BP NOVEMBRE '!C101</f>
        <v>#DIV/0!</v>
      </c>
      <c r="AE48" s="104" t="e">
        <f>ROUND(AD48*$D$48/100,2)</f>
        <v>#DIV/0!</v>
      </c>
      <c r="AF48" s="107" t="e">
        <f>AD48+'[2]BP DECEMBRE '!C101</f>
        <v>#DIV/0!</v>
      </c>
      <c r="AG48" s="104" t="e">
        <f>ROUND(AF48*$D$48/100,2)</f>
        <v>#DIV/0!</v>
      </c>
    </row>
    <row r="49" spans="1:33" s="22" customFormat="1" ht="20.25" customHeight="1" x14ac:dyDescent="0.2">
      <c r="A49" s="439"/>
      <c r="B49" s="770" t="s">
        <v>90</v>
      </c>
      <c r="C49" s="770"/>
      <c r="D49" s="442"/>
      <c r="F49" s="146">
        <f>SUM(F40:F48)</f>
        <v>444.85</v>
      </c>
      <c r="H49" s="167"/>
      <c r="I49" s="167"/>
      <c r="J49" s="167"/>
      <c r="L49" s="180"/>
      <c r="M49" s="109">
        <f>SUM(M40:M48)</f>
        <v>0</v>
      </c>
      <c r="N49" s="109"/>
      <c r="O49" s="109" t="e">
        <f>SUM(O40:O48)</f>
        <v>#DIV/0!</v>
      </c>
      <c r="P49" s="109"/>
      <c r="Q49" s="109" t="e">
        <f>SUM(Q40:Q48)</f>
        <v>#DIV/0!</v>
      </c>
      <c r="R49" s="109"/>
      <c r="S49" s="109" t="e">
        <f>SUM(S40:S48)</f>
        <v>#DIV/0!</v>
      </c>
      <c r="T49" s="109"/>
      <c r="U49" s="109" t="e">
        <f>SUM(U40:U48)</f>
        <v>#DIV/0!</v>
      </c>
      <c r="V49" s="109"/>
      <c r="W49" s="109" t="e">
        <f>SUM(W40:W48)</f>
        <v>#DIV/0!</v>
      </c>
      <c r="X49" s="109"/>
      <c r="Y49" s="109" t="e">
        <f t="shared" ref="Y49:AG49" si="20">SUM(Y40:Y48)</f>
        <v>#DIV/0!</v>
      </c>
      <c r="Z49" s="109"/>
      <c r="AA49" s="109" t="e">
        <f t="shared" si="20"/>
        <v>#DIV/0!</v>
      </c>
      <c r="AB49" s="109"/>
      <c r="AC49" s="109" t="e">
        <f t="shared" si="20"/>
        <v>#DIV/0!</v>
      </c>
      <c r="AD49" s="109"/>
      <c r="AE49" s="109" t="e">
        <f t="shared" si="20"/>
        <v>#DIV/0!</v>
      </c>
      <c r="AF49" s="109"/>
      <c r="AG49" s="109" t="e">
        <f t="shared" si="20"/>
        <v>#DIV/0!</v>
      </c>
    </row>
    <row r="50" spans="1:33" ht="20.25" customHeight="1" x14ac:dyDescent="0.25">
      <c r="A50" s="439"/>
      <c r="B50" s="776" t="s">
        <v>193</v>
      </c>
      <c r="C50" s="776"/>
      <c r="D50" s="443"/>
      <c r="E50" s="444"/>
      <c r="F50" s="432">
        <f xml:space="preserve"> ROUND(IF(F49/E41&gt;0.1131,0.1131,F49/E41),4)</f>
        <v>0.11310000000000001</v>
      </c>
      <c r="G50" s="110"/>
      <c r="H50" s="110"/>
      <c r="I50" s="110"/>
      <c r="J50" s="110"/>
      <c r="L50" s="111"/>
      <c r="M50" s="111"/>
      <c r="N50" s="111"/>
      <c r="P50" s="110"/>
      <c r="R50" s="110"/>
    </row>
    <row r="51" spans="1:33" ht="20.25" customHeight="1" x14ac:dyDescent="0.25">
      <c r="B51" s="56"/>
      <c r="C51" s="56"/>
      <c r="E51" s="110"/>
      <c r="F51" s="110"/>
      <c r="G51" s="110"/>
      <c r="H51" s="110"/>
      <c r="I51" s="110"/>
      <c r="J51" s="110"/>
      <c r="L51" s="111"/>
      <c r="M51" s="111"/>
      <c r="N51" s="111"/>
      <c r="P51" s="110"/>
      <c r="R51" s="110"/>
    </row>
    <row r="52" spans="1:33" ht="20.25" customHeight="1" x14ac:dyDescent="0.25">
      <c r="T52" s="110"/>
    </row>
    <row r="53" spans="1:33" ht="20.25" customHeight="1" x14ac:dyDescent="0.25">
      <c r="B53" s="112"/>
      <c r="C53" s="112"/>
      <c r="D53" s="112"/>
      <c r="E53" s="112"/>
      <c r="F53" s="112"/>
      <c r="G53" s="112"/>
      <c r="H53" s="112"/>
      <c r="I53" s="112"/>
      <c r="J53" s="112"/>
      <c r="K53" s="112"/>
    </row>
    <row r="54" spans="1:33" ht="27.75" customHeight="1" x14ac:dyDescent="0.25">
      <c r="A54" s="96" t="s">
        <v>146</v>
      </c>
      <c r="B54" s="777" t="s">
        <v>147</v>
      </c>
      <c r="C54" s="778"/>
      <c r="D54" s="778"/>
      <c r="E54" s="778"/>
      <c r="F54" s="778"/>
      <c r="G54" s="778"/>
      <c r="H54" s="778"/>
      <c r="I54" s="778"/>
      <c r="J54" s="778"/>
      <c r="K54" s="778"/>
      <c r="O54" s="113"/>
      <c r="P54" s="113"/>
      <c r="Q54" s="113"/>
      <c r="R54" s="113"/>
      <c r="S54" s="113"/>
      <c r="T54" s="113"/>
    </row>
    <row r="55" spans="1:33" ht="20.25" customHeight="1" x14ac:dyDescent="0.25">
      <c r="A55" s="61" t="s">
        <v>286</v>
      </c>
      <c r="B55" s="61" t="s">
        <v>252</v>
      </c>
      <c r="C55" s="61" t="s">
        <v>217</v>
      </c>
      <c r="D55" s="61" t="s">
        <v>253</v>
      </c>
      <c r="E55" s="61" t="s">
        <v>254</v>
      </c>
      <c r="F55" s="61" t="s">
        <v>255</v>
      </c>
      <c r="G55" s="61" t="s">
        <v>256</v>
      </c>
      <c r="H55" s="48"/>
      <c r="K55" s="114"/>
    </row>
    <row r="56" spans="1:33" s="115" customFormat="1" ht="48.75" customHeight="1" x14ac:dyDescent="0.2">
      <c r="A56" s="116" t="s">
        <v>290</v>
      </c>
      <c r="B56" s="436" t="s">
        <v>148</v>
      </c>
      <c r="C56" s="436" t="s">
        <v>291</v>
      </c>
      <c r="D56" s="436" t="s">
        <v>98</v>
      </c>
      <c r="E56" s="436" t="s">
        <v>292</v>
      </c>
      <c r="F56" s="437" t="s">
        <v>149</v>
      </c>
      <c r="G56" s="437" t="s">
        <v>389</v>
      </c>
      <c r="H56" s="117">
        <v>56</v>
      </c>
      <c r="I56" s="118"/>
      <c r="J56" s="118"/>
      <c r="N56" s="118"/>
      <c r="O56" s="118"/>
      <c r="P56" s="118"/>
      <c r="Q56" s="118"/>
      <c r="R56" s="118"/>
      <c r="S56" s="118"/>
      <c r="T56" s="118"/>
    </row>
    <row r="57" spans="1:33" s="115" customFormat="1" ht="33" customHeight="1" x14ac:dyDescent="0.2">
      <c r="A57" s="382"/>
      <c r="B57" s="384">
        <f>'BP FORMAT JUILLET 2023'!J21+'BP FORMAT JUILLET 2023'!J22+'BP FORMAT JUILLET 2023'!J20+'BP FORMAT JUILLET 2023'!J18+'BP FORMAT JUILLET 2023'!J19</f>
        <v>0</v>
      </c>
      <c r="C57" s="148">
        <f>A57+B57</f>
        <v>0</v>
      </c>
      <c r="D57" s="149">
        <f>ROUND(IF(F49/E41&gt;0.1131,0.1131,F49/E41),4)</f>
        <v>0.11310000000000001</v>
      </c>
      <c r="E57" s="385">
        <f>IF(A57&gt;8037,0,IF(C57&gt;8037,8037-A57,B57))</f>
        <v>0</v>
      </c>
      <c r="F57" s="385">
        <f>ROUND(E57*D57,2)</f>
        <v>0</v>
      </c>
      <c r="G57" s="383">
        <f>IF(C57&gt;8037,B57-E57,0)</f>
        <v>0</v>
      </c>
      <c r="H57" s="117">
        <v>57</v>
      </c>
      <c r="I57" s="162"/>
      <c r="J57" s="162"/>
      <c r="N57" s="118"/>
      <c r="O57" s="118"/>
      <c r="P57" s="118"/>
      <c r="Q57" s="118"/>
      <c r="R57" s="118"/>
      <c r="S57" s="118"/>
      <c r="T57" s="118"/>
    </row>
    <row r="58" spans="1:33" ht="22.5" hidden="1" customHeight="1" x14ac:dyDescent="0.25">
      <c r="A58" s="147"/>
      <c r="B58" s="148"/>
      <c r="C58" s="148"/>
      <c r="D58" s="147"/>
      <c r="E58" s="164"/>
      <c r="F58" s="148"/>
      <c r="G58" s="163"/>
      <c r="H58" s="163"/>
      <c r="I58" s="163"/>
      <c r="J58" s="163"/>
      <c r="L58" s="122"/>
      <c r="M58" s="123"/>
      <c r="N58" s="124"/>
      <c r="O58" s="118"/>
      <c r="P58" s="118"/>
      <c r="Q58" s="118"/>
      <c r="R58" s="122"/>
      <c r="S58" s="122"/>
      <c r="T58" s="122"/>
    </row>
    <row r="59" spans="1:33" ht="22.5" hidden="1" customHeight="1" x14ac:dyDescent="0.25">
      <c r="A59" s="117" t="s">
        <v>150</v>
      </c>
      <c r="B59" s="106">
        <f>+'[2]BP FEVRIER    '!J59+'[2]BP FEVRIER    '!J60+'[2]BP FEVRIER    '!J61+'[2]BP FEVRIER    '!J62+'[2]BP FEVRIER    '!J63</f>
        <v>0</v>
      </c>
      <c r="C59" s="117">
        <f>B59+B57</f>
        <v>0</v>
      </c>
      <c r="D59" s="119" t="e">
        <f>IF(M49/B25&gt;0.1131,0.1131,M49/B25)</f>
        <v>#DIV/0!</v>
      </c>
      <c r="E59" s="120" t="e">
        <f>IF(C59&lt;5358,B59*D59,IF(C57&gt;5358,0,(5358-C57)*D59))</f>
        <v>#DIV/0!</v>
      </c>
      <c r="F59" s="120"/>
      <c r="G59" s="161"/>
      <c r="H59" s="161"/>
      <c r="I59" s="161"/>
      <c r="J59" s="161"/>
      <c r="K59" s="121">
        <f>IF(C59&lt;5358,B59,IF(C57&gt;5358,0,5358-C57))</f>
        <v>0</v>
      </c>
      <c r="L59" s="122"/>
      <c r="M59" s="123"/>
      <c r="N59" s="124"/>
      <c r="O59" s="118"/>
      <c r="P59" s="118"/>
      <c r="Q59" s="118"/>
      <c r="R59" s="122"/>
      <c r="S59" s="122"/>
      <c r="T59" s="122"/>
    </row>
    <row r="60" spans="1:33" ht="22.5" hidden="1" customHeight="1" x14ac:dyDescent="0.25">
      <c r="A60" s="117" t="s">
        <v>151</v>
      </c>
      <c r="B60" s="106" t="e">
        <f>+L91</f>
        <v>#DIV/0!</v>
      </c>
      <c r="C60" s="106" t="e">
        <f>C59+B60</f>
        <v>#DIV/0!</v>
      </c>
      <c r="D60" s="119" t="e">
        <f>IF(O49/B26&lt;0.1131,O49/B26,0.1131)</f>
        <v>#DIV/0!</v>
      </c>
      <c r="E60" s="120" t="e">
        <f>IF(C60&lt;5358,B60*D60,IF(C59&gt;5358,0,(5358-C59)*D60))</f>
        <v>#DIV/0!</v>
      </c>
      <c r="F60" s="120"/>
      <c r="G60" s="120"/>
      <c r="H60" s="120"/>
      <c r="I60" s="120"/>
      <c r="J60" s="120"/>
      <c r="K60" s="121" t="e">
        <f t="shared" ref="K60:K69" si="21">IF(C60&lt;5358,B60,IF(C59&gt;5358,0,5358-C59))</f>
        <v>#DIV/0!</v>
      </c>
      <c r="L60" s="122"/>
      <c r="M60" s="123"/>
      <c r="N60" s="124"/>
      <c r="O60" s="125"/>
      <c r="P60" s="125"/>
      <c r="Q60" s="125"/>
      <c r="R60" s="125"/>
      <c r="S60" s="125"/>
      <c r="T60" s="125"/>
    </row>
    <row r="61" spans="1:33" ht="22.5" hidden="1" customHeight="1" x14ac:dyDescent="0.25">
      <c r="A61" s="117" t="s">
        <v>152</v>
      </c>
      <c r="B61" s="106" t="e">
        <f>+M91</f>
        <v>#DIV/0!</v>
      </c>
      <c r="C61" s="106" t="e">
        <f>C60+B61</f>
        <v>#DIV/0!</v>
      </c>
      <c r="D61" s="119" t="e">
        <f>IF(Q49/B27&lt;0.1131,Q49/B27,0.1131)</f>
        <v>#DIV/0!</v>
      </c>
      <c r="E61" s="120" t="e">
        <f>IF(C61&lt;5358,B61*D61,IF(C60&gt;5358,0,(5358-C60)*D61))</f>
        <v>#DIV/0!</v>
      </c>
      <c r="F61" s="120"/>
      <c r="G61" s="120"/>
      <c r="H61" s="120"/>
      <c r="I61" s="120"/>
      <c r="J61" s="120"/>
      <c r="K61" s="121" t="e">
        <f t="shared" si="21"/>
        <v>#DIV/0!</v>
      </c>
      <c r="L61" s="122"/>
      <c r="M61" s="123"/>
      <c r="N61" s="124"/>
      <c r="O61" s="125"/>
      <c r="P61" s="125"/>
      <c r="Q61" s="125"/>
      <c r="R61" s="125"/>
      <c r="S61" s="125"/>
      <c r="T61" s="125"/>
      <c r="U61" s="2"/>
    </row>
    <row r="62" spans="1:33" ht="22.5" hidden="1" customHeight="1" x14ac:dyDescent="0.25">
      <c r="A62" s="117" t="s">
        <v>153</v>
      </c>
      <c r="B62" s="106" t="e">
        <f>+N91</f>
        <v>#DIV/0!</v>
      </c>
      <c r="C62" s="106" t="e">
        <f>C61+B62</f>
        <v>#DIV/0!</v>
      </c>
      <c r="D62" s="119" t="e">
        <f>IF(S49/B28&lt;0.1131,S49/B28,0.1131)</f>
        <v>#DIV/0!</v>
      </c>
      <c r="E62" s="120" t="e">
        <f>IF(C62&lt;5358,B62*D62,IF(C61&gt;5358,0,(5358-C61)*D62))</f>
        <v>#DIV/0!</v>
      </c>
      <c r="F62" s="120"/>
      <c r="G62" s="120"/>
      <c r="H62" s="120"/>
      <c r="I62" s="120"/>
      <c r="J62" s="120"/>
      <c r="K62" s="121" t="e">
        <f t="shared" si="21"/>
        <v>#DIV/0!</v>
      </c>
      <c r="L62" s="122"/>
      <c r="M62" s="123"/>
      <c r="N62" s="124"/>
      <c r="O62" s="125"/>
      <c r="P62" s="125"/>
      <c r="Q62" s="125"/>
      <c r="R62" s="125"/>
      <c r="S62" s="125"/>
      <c r="T62" s="125"/>
      <c r="U62" s="2"/>
    </row>
    <row r="63" spans="1:33" ht="22.5" hidden="1" customHeight="1" x14ac:dyDescent="0.25">
      <c r="A63" s="117" t="s">
        <v>142</v>
      </c>
      <c r="B63" s="106" t="e">
        <f>+O91</f>
        <v>#DIV/0!</v>
      </c>
      <c r="C63" s="106" t="e">
        <f>C62+B63</f>
        <v>#DIV/0!</v>
      </c>
      <c r="D63" s="119" t="e">
        <f>IF(U49/B29&lt;0.1131,U49/B29,0.1131)</f>
        <v>#DIV/0!</v>
      </c>
      <c r="E63" s="120" t="e">
        <f>IF(C63&lt;5358,B63*D63,IF(C62&gt;5358,0,(5358-C62)*D63))</f>
        <v>#DIV/0!</v>
      </c>
      <c r="F63" s="120"/>
      <c r="G63" s="120"/>
      <c r="H63" s="120"/>
      <c r="I63" s="120"/>
      <c r="J63" s="120"/>
      <c r="K63" s="121" t="e">
        <f t="shared" si="21"/>
        <v>#DIV/0!</v>
      </c>
      <c r="L63" s="122"/>
      <c r="M63" s="123"/>
      <c r="N63" s="124"/>
      <c r="O63" s="125"/>
      <c r="P63" s="125"/>
      <c r="Q63" s="125"/>
      <c r="R63" s="125"/>
      <c r="S63" s="125"/>
      <c r="T63" s="125"/>
      <c r="U63" s="2"/>
    </row>
    <row r="64" spans="1:33" ht="22.5" hidden="1" customHeight="1" x14ac:dyDescent="0.25">
      <c r="A64" s="117" t="s">
        <v>154</v>
      </c>
      <c r="B64" s="126" t="e">
        <f>'[2]BP JUILLET '!J59+'[2]BP JUILLET '!J60+'[2]BP JUILLET '!J61+'[2]BP JUILLET '!J62+'[2]BP JUILLET '!J63</f>
        <v>#DIV/0!</v>
      </c>
      <c r="C64" s="126" t="e">
        <f t="shared" ref="C64:C69" si="22">+B64+C63</f>
        <v>#DIV/0!</v>
      </c>
      <c r="D64" s="127" t="e">
        <f>+IF(W49/B30&gt;0.1131,0.1131,W49/B30)</f>
        <v>#DIV/0!</v>
      </c>
      <c r="E64" s="120" t="e">
        <f t="shared" ref="E64:E69" si="23">IF(C64&lt;5358,B64*D64,IF(C63&gt;5358,0,(5358-C63)*D64))</f>
        <v>#DIV/0!</v>
      </c>
      <c r="F64" s="120"/>
      <c r="G64" s="120"/>
      <c r="H64" s="120"/>
      <c r="I64" s="120"/>
      <c r="J64" s="120"/>
      <c r="K64" s="121" t="e">
        <f t="shared" si="21"/>
        <v>#DIV/0!</v>
      </c>
      <c r="L64" s="122"/>
      <c r="M64" s="123"/>
      <c r="N64" s="124"/>
      <c r="O64" s="125"/>
      <c r="P64" s="125"/>
      <c r="Q64" s="125"/>
      <c r="R64" s="125"/>
      <c r="S64" s="125"/>
      <c r="T64" s="125"/>
    </row>
    <row r="65" spans="1:20" ht="22.5" hidden="1" customHeight="1" x14ac:dyDescent="0.25">
      <c r="A65" s="117" t="s">
        <v>155</v>
      </c>
      <c r="B65" s="126" t="e">
        <f>Q91</f>
        <v>#DIV/0!</v>
      </c>
      <c r="C65" s="126" t="e">
        <f t="shared" si="22"/>
        <v>#DIV/0!</v>
      </c>
      <c r="D65" s="127" t="e">
        <f>+IF(Y49/B31&gt;0.1131,0.1131,Y49/B31)</f>
        <v>#DIV/0!</v>
      </c>
      <c r="E65" s="120" t="e">
        <f t="shared" si="23"/>
        <v>#DIV/0!</v>
      </c>
      <c r="F65" s="120"/>
      <c r="G65" s="120"/>
      <c r="H65" s="120"/>
      <c r="I65" s="120"/>
      <c r="J65" s="120"/>
      <c r="K65" s="121" t="e">
        <f t="shared" si="21"/>
        <v>#DIV/0!</v>
      </c>
      <c r="L65" s="122"/>
      <c r="M65" s="123"/>
      <c r="N65" s="124"/>
      <c r="O65" s="125"/>
      <c r="P65" s="125"/>
      <c r="Q65" s="125"/>
      <c r="R65" s="125"/>
      <c r="S65" s="125"/>
      <c r="T65" s="125"/>
    </row>
    <row r="66" spans="1:20" ht="22.5" hidden="1" customHeight="1" x14ac:dyDescent="0.25">
      <c r="A66" s="117" t="s">
        <v>156</v>
      </c>
      <c r="B66" s="126" t="e">
        <f>R91</f>
        <v>#DIV/0!</v>
      </c>
      <c r="C66" s="126" t="e">
        <f t="shared" si="22"/>
        <v>#DIV/0!</v>
      </c>
      <c r="D66" s="127" t="e">
        <f>+IF(AA49/B32&gt;0.1131,0.1131,AA49/E11)</f>
        <v>#DIV/0!</v>
      </c>
      <c r="E66" s="120" t="e">
        <f t="shared" si="23"/>
        <v>#DIV/0!</v>
      </c>
      <c r="F66" s="120"/>
      <c r="G66" s="120"/>
      <c r="H66" s="120"/>
      <c r="I66" s="120"/>
      <c r="J66" s="120"/>
      <c r="K66" s="121" t="e">
        <f t="shared" si="21"/>
        <v>#DIV/0!</v>
      </c>
      <c r="L66" s="122"/>
      <c r="M66" s="123"/>
      <c r="N66" s="124"/>
      <c r="O66" s="125"/>
      <c r="P66" s="125"/>
      <c r="Q66" s="125"/>
      <c r="R66" s="125"/>
      <c r="S66" s="125"/>
      <c r="T66" s="125"/>
    </row>
    <row r="67" spans="1:20" ht="22.5" hidden="1" customHeight="1" x14ac:dyDescent="0.25">
      <c r="A67" s="117" t="s">
        <v>157</v>
      </c>
      <c r="B67" s="126" t="e">
        <f>S91</f>
        <v>#DIV/0!</v>
      </c>
      <c r="C67" s="126" t="e">
        <f t="shared" si="22"/>
        <v>#DIV/0!</v>
      </c>
      <c r="D67" s="127" t="e">
        <f>+IF(AC49/B33&gt;0.1131,0.1131,AC49/EG2)</f>
        <v>#DIV/0!</v>
      </c>
      <c r="E67" s="120" t="e">
        <f t="shared" si="23"/>
        <v>#DIV/0!</v>
      </c>
      <c r="F67" s="120"/>
      <c r="G67" s="120"/>
      <c r="H67" s="120"/>
      <c r="I67" s="120"/>
      <c r="J67" s="120"/>
      <c r="K67" s="121" t="e">
        <f t="shared" si="21"/>
        <v>#DIV/0!</v>
      </c>
      <c r="L67" s="122"/>
      <c r="M67" s="123"/>
      <c r="N67" s="124"/>
      <c r="O67" s="125"/>
      <c r="P67" s="125"/>
      <c r="Q67" s="125"/>
      <c r="R67" s="125"/>
      <c r="S67" s="125"/>
      <c r="T67" s="125"/>
    </row>
    <row r="68" spans="1:20" ht="22.5" hidden="1" customHeight="1" x14ac:dyDescent="0.25">
      <c r="A68" s="117" t="s">
        <v>158</v>
      </c>
      <c r="B68" s="126" t="e">
        <f>T91</f>
        <v>#DIV/0!</v>
      </c>
      <c r="C68" s="126" t="e">
        <f t="shared" si="22"/>
        <v>#DIV/0!</v>
      </c>
      <c r="D68" s="127" t="e">
        <f>+IF(AE49/B34&gt;0.1131,0.1131,AE49/B34)</f>
        <v>#DIV/0!</v>
      </c>
      <c r="E68" s="120" t="e">
        <f t="shared" si="23"/>
        <v>#DIV/0!</v>
      </c>
      <c r="F68" s="120"/>
      <c r="G68" s="120"/>
      <c r="H68" s="120"/>
      <c r="I68" s="120"/>
      <c r="J68" s="120"/>
      <c r="K68" s="121" t="e">
        <f t="shared" si="21"/>
        <v>#DIV/0!</v>
      </c>
      <c r="L68" s="122"/>
      <c r="M68" s="123"/>
      <c r="N68" s="124"/>
      <c r="O68" s="125"/>
      <c r="P68" s="125"/>
      <c r="Q68" s="125"/>
      <c r="R68" s="125"/>
      <c r="S68" s="125"/>
      <c r="T68" s="125"/>
    </row>
    <row r="69" spans="1:20" ht="22.5" hidden="1" customHeight="1" x14ac:dyDescent="0.25">
      <c r="A69" s="117" t="s">
        <v>159</v>
      </c>
      <c r="B69" s="126" t="e">
        <f>U91</f>
        <v>#DIV/0!</v>
      </c>
      <c r="C69" s="126" t="e">
        <f t="shared" si="22"/>
        <v>#DIV/0!</v>
      </c>
      <c r="D69" s="127" t="e">
        <f>+IF(AG49/B35&gt;0.1131,0.1131,AG49/B35)</f>
        <v>#DIV/0!</v>
      </c>
      <c r="E69" s="120" t="e">
        <f t="shared" si="23"/>
        <v>#DIV/0!</v>
      </c>
      <c r="F69" s="120"/>
      <c r="G69" s="120"/>
      <c r="H69" s="120"/>
      <c r="I69" s="120"/>
      <c r="J69" s="120"/>
      <c r="K69" s="121" t="e">
        <f t="shared" si="21"/>
        <v>#DIV/0!</v>
      </c>
      <c r="L69" s="122"/>
      <c r="M69" s="123"/>
      <c r="N69" s="124"/>
      <c r="O69" s="125"/>
      <c r="P69" s="125"/>
      <c r="Q69" s="125"/>
      <c r="R69" s="125"/>
      <c r="S69" s="125"/>
      <c r="T69" s="125"/>
    </row>
    <row r="70" spans="1:20" ht="22.5" hidden="1" customHeight="1" x14ac:dyDescent="0.25">
      <c r="A70" s="48"/>
      <c r="B70" s="2"/>
      <c r="C70" s="2"/>
      <c r="D70" s="128" t="e">
        <f>+IF(AE52/E15&gt;0.1131,0.1131,AE52/E15)</f>
        <v>#DIV/0!</v>
      </c>
      <c r="M70" s="129" t="e">
        <f t="shared" ref="M70:M80" si="24">+K70-K69</f>
        <v>#DIV/0!</v>
      </c>
      <c r="Q70" s="130"/>
      <c r="R70" s="131">
        <f t="shared" ref="R70:R80" si="25">IF(C70&lt;5358,C70*0.9825,5358*0.9825)</f>
        <v>0</v>
      </c>
    </row>
    <row r="71" spans="1:20" ht="22.5" hidden="1" customHeight="1" x14ac:dyDescent="0.25">
      <c r="A71" s="48"/>
      <c r="B71" s="2"/>
      <c r="C71" s="2"/>
      <c r="D71" s="61" t="e">
        <f>+IF(AE53/E16&gt;0.1131,0.1131,AE53/E16)</f>
        <v>#DIV/0!</v>
      </c>
      <c r="M71" s="132">
        <f t="shared" si="24"/>
        <v>0</v>
      </c>
      <c r="Q71" s="133"/>
      <c r="R71" s="131">
        <f t="shared" si="25"/>
        <v>0</v>
      </c>
    </row>
    <row r="72" spans="1:20" ht="22.5" hidden="1" customHeight="1" x14ac:dyDescent="0.25">
      <c r="A72" s="112"/>
      <c r="B72" s="2"/>
      <c r="C72" s="2"/>
      <c r="D72" s="61" t="e">
        <f>+IF(AE54/E17&gt;0.1131,0.1131,AE54/E17)</f>
        <v>#DIV/0!</v>
      </c>
      <c r="M72" s="132">
        <f t="shared" si="24"/>
        <v>0</v>
      </c>
      <c r="Q72" s="134"/>
      <c r="R72" s="131">
        <f t="shared" si="25"/>
        <v>0</v>
      </c>
    </row>
    <row r="73" spans="1:20" ht="22.5" hidden="1" customHeight="1" x14ac:dyDescent="0.25">
      <c r="A73" s="112"/>
      <c r="B73" s="2"/>
      <c r="C73" s="2"/>
      <c r="D73" s="61" t="e">
        <f>+IF(AE55/E18&gt;0.1131,0.1131,AE55/E18)</f>
        <v>#DIV/0!</v>
      </c>
      <c r="M73" s="132">
        <f t="shared" si="24"/>
        <v>0</v>
      </c>
      <c r="Q73" s="134"/>
      <c r="R73" s="131">
        <f t="shared" si="25"/>
        <v>0</v>
      </c>
    </row>
    <row r="74" spans="1:20" ht="22.5" hidden="1" customHeight="1" x14ac:dyDescent="0.25">
      <c r="A74" s="112"/>
      <c r="B74" s="2"/>
      <c r="C74" s="2"/>
      <c r="D74" s="61" t="e">
        <f>+IF(AE56/E19&gt;0.1131,0.1131,AE56/E19)</f>
        <v>#DIV/0!</v>
      </c>
      <c r="M74" s="132">
        <f t="shared" si="24"/>
        <v>0</v>
      </c>
      <c r="Q74" s="134"/>
      <c r="R74" s="131">
        <f t="shared" si="25"/>
        <v>0</v>
      </c>
    </row>
    <row r="75" spans="1:20" ht="22.5" hidden="1" customHeight="1" x14ac:dyDescent="0.25">
      <c r="A75" s="112"/>
      <c r="B75" s="2"/>
      <c r="C75" s="2"/>
      <c r="D75" s="61" t="e">
        <f t="shared" ref="D75:D80" si="26">+IF(AE58/E21&gt;0.1131,0.1131,AE58/E21)</f>
        <v>#DIV/0!</v>
      </c>
      <c r="M75" s="132">
        <f t="shared" si="24"/>
        <v>0</v>
      </c>
      <c r="Q75" s="134"/>
      <c r="R75" s="131">
        <f t="shared" si="25"/>
        <v>0</v>
      </c>
    </row>
    <row r="76" spans="1:20" ht="22.5" hidden="1" customHeight="1" x14ac:dyDescent="0.25">
      <c r="A76" s="112"/>
      <c r="B76" s="2"/>
      <c r="C76" s="2"/>
      <c r="D76" s="61" t="e">
        <f t="shared" si="26"/>
        <v>#VALUE!</v>
      </c>
      <c r="M76" s="132">
        <f t="shared" si="24"/>
        <v>0</v>
      </c>
      <c r="Q76" s="134"/>
      <c r="R76" s="131">
        <f t="shared" si="25"/>
        <v>0</v>
      </c>
    </row>
    <row r="77" spans="1:20" ht="22.5" hidden="1" customHeight="1" x14ac:dyDescent="0.25">
      <c r="A77" s="112"/>
      <c r="B77" s="2"/>
      <c r="C77" s="2"/>
      <c r="D77" s="61" t="e">
        <f t="shared" si="26"/>
        <v>#VALUE!</v>
      </c>
      <c r="M77" s="132">
        <f t="shared" si="24"/>
        <v>0</v>
      </c>
      <c r="Q77" s="134"/>
      <c r="R77" s="131">
        <f t="shared" si="25"/>
        <v>0</v>
      </c>
    </row>
    <row r="78" spans="1:20" ht="22.5" hidden="1" customHeight="1" x14ac:dyDescent="0.25">
      <c r="A78" s="112"/>
      <c r="B78" s="2"/>
      <c r="C78" s="2"/>
      <c r="D78" s="61">
        <f t="shared" si="26"/>
        <v>0</v>
      </c>
      <c r="M78" s="132">
        <f t="shared" si="24"/>
        <v>0</v>
      </c>
      <c r="Q78" s="134"/>
      <c r="R78" s="131">
        <f t="shared" si="25"/>
        <v>0</v>
      </c>
    </row>
    <row r="79" spans="1:20" ht="22.5" hidden="1" customHeight="1" x14ac:dyDescent="0.25">
      <c r="A79" s="112"/>
      <c r="B79" s="2"/>
      <c r="C79" s="2"/>
      <c r="D79" s="61">
        <f t="shared" si="26"/>
        <v>0</v>
      </c>
      <c r="M79" s="132">
        <f t="shared" si="24"/>
        <v>0</v>
      </c>
      <c r="Q79" s="134"/>
      <c r="R79" s="131">
        <f t="shared" si="25"/>
        <v>0</v>
      </c>
    </row>
    <row r="80" spans="1:20" ht="22.5" hidden="1" customHeight="1" x14ac:dyDescent="0.25">
      <c r="A80" s="112"/>
      <c r="D80" s="61" t="e">
        <f t="shared" si="26"/>
        <v>#DIV/0!</v>
      </c>
      <c r="M80" s="132">
        <f t="shared" si="24"/>
        <v>0</v>
      </c>
      <c r="R80" s="131">
        <f t="shared" si="25"/>
        <v>0</v>
      </c>
    </row>
    <row r="81" spans="1:21" ht="20.25" customHeight="1" x14ac:dyDescent="0.25">
      <c r="A81" s="112"/>
      <c r="M81" s="135"/>
      <c r="R81" s="136"/>
    </row>
    <row r="82" spans="1:21" ht="20.25" customHeight="1" x14ac:dyDescent="0.25">
      <c r="A82" s="112"/>
      <c r="M82" s="135"/>
      <c r="R82" s="136"/>
    </row>
    <row r="83" spans="1:21" ht="20.25" customHeight="1" x14ac:dyDescent="0.25">
      <c r="A83" s="112"/>
      <c r="E83" s="156"/>
    </row>
    <row r="84" spans="1:21" ht="27" customHeight="1" x14ac:dyDescent="0.25">
      <c r="A84" s="446" t="s">
        <v>286</v>
      </c>
      <c r="B84" s="446" t="s">
        <v>252</v>
      </c>
      <c r="C84" s="446" t="s">
        <v>217</v>
      </c>
      <c r="D84" s="446" t="s">
        <v>253</v>
      </c>
      <c r="E84" s="446" t="s">
        <v>254</v>
      </c>
      <c r="F84" s="446" t="s">
        <v>255</v>
      </c>
      <c r="G84" s="113"/>
      <c r="H84" s="113"/>
      <c r="I84" s="113"/>
      <c r="J84" s="113"/>
      <c r="K84" s="113"/>
      <c r="L84" s="150" t="s">
        <v>151</v>
      </c>
      <c r="M84" s="137" t="s">
        <v>152</v>
      </c>
      <c r="N84" s="137" t="s">
        <v>141</v>
      </c>
      <c r="O84" s="137" t="s">
        <v>142</v>
      </c>
      <c r="P84" s="137" t="s">
        <v>143</v>
      </c>
      <c r="Q84" s="137" t="s">
        <v>155</v>
      </c>
      <c r="R84" s="137" t="s">
        <v>156</v>
      </c>
      <c r="S84" s="137" t="s">
        <v>157</v>
      </c>
      <c r="T84" s="137" t="s">
        <v>158</v>
      </c>
      <c r="U84" s="137" t="s">
        <v>159</v>
      </c>
    </row>
    <row r="85" spans="1:21" ht="20.25" customHeight="1" x14ac:dyDescent="0.25">
      <c r="A85" s="564" t="s">
        <v>160</v>
      </c>
      <c r="B85" s="564"/>
      <c r="C85" s="564"/>
      <c r="D85" s="564"/>
      <c r="E85" s="159">
        <f>'BP FORMAT JUILLET 2023'!J33-'BP FORMAT JUILLET 2023'!J22-'BP FORMAT JUILLET 2023'!J21-'BP FORMAT JUILLET 2023'!J20-'BP FORMAT JUILLET 2023'!J19-'BP FORMAT JUILLET 2023'!J18-'BP FORMAT JUILLET 2023'!J14-'BP FORMAT JUILLET 2023'!J17</f>
        <v>3933.2904575440102</v>
      </c>
      <c r="F85" s="445">
        <v>85</v>
      </c>
      <c r="G85" s="152"/>
      <c r="H85" s="152"/>
      <c r="I85" s="152"/>
      <c r="J85" s="152"/>
      <c r="K85" s="152"/>
      <c r="L85" s="151" t="e">
        <f>'[2]BP MARS   '!J74-'[2]BP MARS   '!J59-'[2]BP MARS   '!J60-'[2]BP MARS   '!J61-'[2]BP MARS   '!J62-'[2]BP MARS   '!J63-'[2]HEURES SUPPLEMENTAIRES '!G83</f>
        <v>#DIV/0!</v>
      </c>
      <c r="M85" s="138" t="e">
        <f>'[2]BP AVRIL    '!J74-M88-'[2]BP AVRIL    '!J59-'[2]BP AVRIL    '!J60-'[2]BP AVRIL    '!J61-'[2]BP AVRIL    '!J62-'[2]BP AVRIL    '!J63</f>
        <v>#DIV/0!</v>
      </c>
      <c r="N85" s="138" t="e">
        <f>'[2]BP MAI     '!J74-'[2]BP MAI     '!J59-'[2]BP MAI     '!J60-'[2]BP MAI     '!J61-'[2]BP MAI     '!J62-'[2]BP MAI     '!J63-N88</f>
        <v>#DIV/0!</v>
      </c>
      <c r="O85" s="126" t="e">
        <f>'[2]BP  JUIN '!J74-'[2]HEURES SUPPLEMENTAIRES '!J83-'[2]HEURES SUPPLEMENTAIRES '!J85</f>
        <v>#DIV/0!</v>
      </c>
      <c r="P85" s="126" t="e">
        <f>'[2]BP JUILLET '!J74-'[2]BP JUILLET '!J59-'[2]BP JUILLET '!J60-'[2]BP JUILLET '!J61-'[2]BP JUILLET '!J62-'[2]BP JUILLET '!J63-'[2]BP JUILLET '!J55-'[2]BP JUILLET '!J56-'[2]BP JUILLET '!J57-'[2]BP JUILLET '!J58-'[2]BP JUILLET '!J17</f>
        <v>#DIV/0!</v>
      </c>
      <c r="Q85" s="126" t="e">
        <f>'[2]BP AOUT '!J74-'[2]BP AOUT '!J63-'[2]BP AOUT '!J62-'[2]BP AOUT '!J61-'[2]BP AOUT '!J60-'[2]BP AOUT '!J59-'[2]HEURES SUPPLEMENTAIRES '!L83</f>
        <v>#DIV/0!</v>
      </c>
      <c r="R85" s="126" t="e">
        <f>'[2]BP SEPTEMBRE '!J74-'[2]BP SEPTEMBRE '!J63-'[2]BP SEPTEMBRE '!J62-'[2]BP SEPTEMBRE '!J61-'[2]BP SEPTEMBRE '!J60-'[2]BP SEPTEMBRE '!J59-'[2]HEURES SUPPLEMENTAIRES '!M83</f>
        <v>#DIV/0!</v>
      </c>
      <c r="S85" s="126" t="e">
        <f>'[2]BP OCTOBRE '!J74-'[2]BP OCTOBRE '!J63-'[2]BP OCTOBRE '!J62-'[2]BP OCTOBRE '!J61-'[2]BP OCTOBRE '!J60-'[2]BP OCTOBRE '!J59-'[2]HEURES SUPPLEMENTAIRES '!N83</f>
        <v>#DIV/0!</v>
      </c>
      <c r="T85" s="126" t="e">
        <f>'[2]BP NOVEMBRE '!J74-'[2]BP NOVEMBRE '!J63-'[2]BP NOVEMBRE '!J62-'[2]BP NOVEMBRE '!J61-'[2]BP NOVEMBRE '!J60-'[2]BP NOVEMBRE '!J59-'[2]HEURES SUPPLEMENTAIRES '!O83</f>
        <v>#DIV/0!</v>
      </c>
      <c r="U85" s="126" t="e">
        <f>'[2]BP DECEMBRE '!J74-'[2]BP DECEMBRE '!J63-'[2]BP DECEMBRE '!J62-'[2]BP DECEMBRE '!J61-'[2]BP DECEMBRE '!J60-'[2]BP DECEMBRE '!J59-'[2]HEURES SUPPLEMENTAIRES '!P83</f>
        <v>#DIV/0!</v>
      </c>
    </row>
    <row r="86" spans="1:21" ht="20.25" customHeight="1" x14ac:dyDescent="0.25">
      <c r="A86" s="565" t="s">
        <v>376</v>
      </c>
      <c r="B86" s="566"/>
      <c r="C86" s="566"/>
      <c r="D86" s="567"/>
      <c r="E86" s="159">
        <f>G57</f>
        <v>0</v>
      </c>
      <c r="F86" s="445">
        <v>86</v>
      </c>
      <c r="G86" s="152"/>
      <c r="H86" s="152"/>
      <c r="I86" s="152"/>
      <c r="J86" s="152"/>
      <c r="K86" s="152"/>
      <c r="L86" s="151"/>
      <c r="M86" s="138"/>
      <c r="N86" s="138"/>
      <c r="O86" s="126"/>
      <c r="P86" s="126"/>
      <c r="Q86" s="126"/>
      <c r="R86" s="126"/>
      <c r="S86" s="126"/>
      <c r="T86" s="126"/>
      <c r="U86" s="126"/>
    </row>
    <row r="87" spans="1:21" ht="20.25" customHeight="1" x14ac:dyDescent="0.25">
      <c r="A87" s="597" t="s">
        <v>377</v>
      </c>
      <c r="B87" s="781"/>
      <c r="C87" s="781"/>
      <c r="D87" s="598"/>
      <c r="E87" s="159">
        <f>E85+E86</f>
        <v>3933.2904575440102</v>
      </c>
      <c r="F87" s="445">
        <v>87</v>
      </c>
      <c r="G87" s="152"/>
      <c r="H87" s="152"/>
      <c r="I87" s="152"/>
      <c r="J87" s="152"/>
      <c r="K87" s="152"/>
      <c r="L87" s="151"/>
      <c r="M87" s="138"/>
      <c r="N87" s="138"/>
      <c r="O87" s="126"/>
      <c r="P87" s="126"/>
      <c r="Q87" s="126"/>
      <c r="R87" s="126"/>
      <c r="S87" s="126"/>
      <c r="T87" s="126"/>
      <c r="U87" s="126"/>
    </row>
    <row r="88" spans="1:21" ht="20.25" customHeight="1" x14ac:dyDescent="0.25">
      <c r="A88" s="565" t="s">
        <v>19</v>
      </c>
      <c r="B88" s="566"/>
      <c r="C88" s="566"/>
      <c r="D88" s="567"/>
      <c r="E88" s="159">
        <f>+'BP FORMAT JUILLET 2023'!J17</f>
        <v>0</v>
      </c>
      <c r="F88" s="445">
        <v>88</v>
      </c>
      <c r="G88" s="152"/>
      <c r="H88" s="152"/>
      <c r="I88" s="152"/>
      <c r="J88" s="152"/>
      <c r="K88" s="152"/>
      <c r="L88" s="151">
        <f>+'[2]BP MARS   '!J17+'[2]BP MARS   '!J55+'[2]BP MARS   '!J56+'[2]BP MARS   '!J57+'[2]BP MARS   '!J58</f>
        <v>0</v>
      </c>
      <c r="M88" s="138">
        <f>'[2]BP AVRIL    '!J17+'[2]BP AVRIL    '!J55+'[2]BP AVRIL    '!J56+'[2]BP AVRIL    '!J57+'[2]BP AVRIL    '!J58</f>
        <v>0</v>
      </c>
      <c r="N88" s="138">
        <f>'[2]BP MAI     '!J58+'[2]BP MAI     '!J57+'[2]BP MAI     '!J56+'[2]BP MAI     '!J55+'[2]BP MAI     '!J17</f>
        <v>0</v>
      </c>
      <c r="O88" s="126">
        <f>'[2]BP  JUIN '!J17+'[2]BP  JUIN '!J55+'[2]BP  JUIN '!J56+'[2]BP  JUIN '!J57+'[2]BP  JUIN '!J58</f>
        <v>0</v>
      </c>
      <c r="P88" s="126">
        <f>'[2]BP JUILLET '!J17+'[2]BP JUILLET '!J55+'[2]BP JUILLET '!J56+'[2]BP JUILLET '!J57+'[2]BP JUILLET '!J58</f>
        <v>0</v>
      </c>
      <c r="Q88" s="126">
        <f>'[2]BP AOUT '!J17+'[2]BP AOUT '!J55+'[2]BP AOUT '!J56+'[2]BP AOUT '!J57+'[2]BP AOUT '!J58</f>
        <v>0</v>
      </c>
      <c r="R88" s="126">
        <f>'[2]BP SEPTEMBRE '!J17+'[2]BP SEPTEMBRE '!J55+'[2]BP SEPTEMBRE '!J56+'[2]BP SEPTEMBRE '!J57+'[2]BP SEPTEMBRE '!J58</f>
        <v>0</v>
      </c>
      <c r="S88" s="126">
        <f>'[2]BP OCTOBRE '!J17+'[2]BP OCTOBRE '!J55+'[2]BP OCTOBRE '!J56+'[2]BP OCTOBRE '!J57+'[2]BP OCTOBRE '!J58</f>
        <v>0</v>
      </c>
      <c r="T88" s="126">
        <f>'[2]BP NOVEMBRE '!J17+'[2]BP NOVEMBRE '!J55+'[2]BP NOVEMBRE '!J56+'[2]BP NOVEMBRE '!J57+'[2]BP NOVEMBRE '!J58</f>
        <v>0</v>
      </c>
      <c r="U88" s="126">
        <f>'[2]BP DECEMBRE '!J17+'[2]BP DECEMBRE '!J55+'[2]BP DECEMBRE '!J56+'[2]BP DECEMBRE '!J57+'[2]BP DECEMBRE '!J58</f>
        <v>0</v>
      </c>
    </row>
    <row r="89" spans="1:21" ht="20.25" customHeight="1" x14ac:dyDescent="0.25">
      <c r="A89" s="565" t="s">
        <v>390</v>
      </c>
      <c r="B89" s="566"/>
      <c r="C89" s="566"/>
      <c r="D89" s="567"/>
      <c r="E89" s="159">
        <f>+'BP FORMAT JUILLET 2023'!J14</f>
        <v>0</v>
      </c>
      <c r="F89" s="445">
        <v>89</v>
      </c>
      <c r="G89" s="152"/>
      <c r="H89" s="152"/>
      <c r="I89" s="152"/>
      <c r="J89" s="152"/>
      <c r="K89" s="152"/>
      <c r="L89" s="151"/>
      <c r="M89" s="138"/>
      <c r="N89" s="138"/>
      <c r="O89" s="126"/>
      <c r="P89" s="126"/>
      <c r="Q89" s="126"/>
      <c r="R89" s="126"/>
      <c r="S89" s="126"/>
      <c r="T89" s="126"/>
      <c r="U89" s="126"/>
    </row>
    <row r="90" spans="1:21" ht="20.25" customHeight="1" x14ac:dyDescent="0.25">
      <c r="A90" s="565" t="s">
        <v>289</v>
      </c>
      <c r="B90" s="566"/>
      <c r="C90" s="566"/>
      <c r="D90" s="567"/>
      <c r="E90" s="159">
        <f>E88+E89</f>
        <v>0</v>
      </c>
      <c r="F90" s="445">
        <v>90</v>
      </c>
      <c r="G90" s="152"/>
      <c r="H90" s="152"/>
      <c r="I90" s="152"/>
      <c r="J90" s="152"/>
      <c r="K90" s="152"/>
      <c r="L90" s="151">
        <f t="shared" ref="L90:U90" si="27">L88+K90</f>
        <v>0</v>
      </c>
      <c r="M90" s="138">
        <f t="shared" si="27"/>
        <v>0</v>
      </c>
      <c r="N90" s="138">
        <f t="shared" si="27"/>
        <v>0</v>
      </c>
      <c r="O90" s="138">
        <f t="shared" si="27"/>
        <v>0</v>
      </c>
      <c r="P90" s="138">
        <f t="shared" si="27"/>
        <v>0</v>
      </c>
      <c r="Q90" s="138">
        <f t="shared" si="27"/>
        <v>0</v>
      </c>
      <c r="R90" s="138">
        <f t="shared" si="27"/>
        <v>0</v>
      </c>
      <c r="S90" s="138">
        <f t="shared" si="27"/>
        <v>0</v>
      </c>
      <c r="T90" s="138">
        <f t="shared" si="27"/>
        <v>0</v>
      </c>
      <c r="U90" s="138">
        <f t="shared" si="27"/>
        <v>0</v>
      </c>
    </row>
    <row r="91" spans="1:21" ht="24" customHeight="1" x14ac:dyDescent="0.25">
      <c r="A91" s="564" t="s">
        <v>161</v>
      </c>
      <c r="B91" s="564"/>
      <c r="C91" s="564"/>
      <c r="D91" s="564"/>
      <c r="E91" s="159">
        <f>E57</f>
        <v>0</v>
      </c>
      <c r="F91" s="445">
        <v>91</v>
      </c>
      <c r="G91" s="152"/>
      <c r="H91" s="152"/>
      <c r="I91" s="152"/>
      <c r="J91" s="152"/>
      <c r="K91" s="152"/>
      <c r="L91" s="151" t="e">
        <f>+'[2]BP MARS   '!J59+'[2]BP MARS   '!J60+'[2]BP MARS   '!J61+'[2]BP MARS   '!J62+'[2]BP MARS   '!J63</f>
        <v>#DIV/0!</v>
      </c>
      <c r="M91" s="138" t="e">
        <f>+'[2]BP AVRIL    '!J59+'[2]BP AVRIL    '!J60+'[2]BP AVRIL    '!J61+'[2]BP AVRIL    '!J62+'[2]BP AVRIL    '!J63</f>
        <v>#DIV/0!</v>
      </c>
      <c r="N91" s="138" t="e">
        <f>+'[2]BP MAI     '!J59+'[2]BP MAI     '!J60+'[2]BP MAI     '!J61+'[2]BP MAI     '!J62+'[2]BP MAI     '!J63</f>
        <v>#DIV/0!</v>
      </c>
      <c r="O91" s="126" t="e">
        <f>'[2]BP  JUIN '!J59+'[2]BP  JUIN '!J60+'[2]BP  JUIN '!J61+'[2]BP  JUIN '!J62+'[2]BP  JUIN '!J63</f>
        <v>#DIV/0!</v>
      </c>
      <c r="P91" s="126" t="e">
        <f>'[2]BP JUILLET '!J59+'[2]BP JUILLET '!J60+'[2]BP JUILLET '!J61+'[2]BP JUILLET '!J62+'[2]BP JUILLET '!J63</f>
        <v>#DIV/0!</v>
      </c>
      <c r="Q91" s="126" t="e">
        <f>'[2]BP AOUT '!J59+'[2]BP AOUT '!J60+'[2]BP AOUT '!J61+'[2]BP AOUT '!J62+'[2]BP AOUT '!J63</f>
        <v>#DIV/0!</v>
      </c>
      <c r="R91" s="126" t="e">
        <f>'[2]BP SEPTEMBRE '!J59+'[2]BP SEPTEMBRE '!J60+'[2]BP SEPTEMBRE '!J61+'[2]BP SEPTEMBRE '!J62+'[2]BP SEPTEMBRE '!J63</f>
        <v>#DIV/0!</v>
      </c>
      <c r="S91" s="126" t="e">
        <f>'[2]BP OCTOBRE '!J59+'[2]BP OCTOBRE '!J60+'[2]BP OCTOBRE '!J61+'[2]BP OCTOBRE '!J62+'[2]BP OCTOBRE '!J63</f>
        <v>#DIV/0!</v>
      </c>
      <c r="T91" s="126" t="e">
        <f>'[2]BP NOVEMBRE '!J59+'[2]BP NOVEMBRE '!J60+'[2]BP NOVEMBRE '!J61+'[2]BP NOVEMBRE '!J62+'[2]BP NOVEMBRE '!J63</f>
        <v>#DIV/0!</v>
      </c>
      <c r="U91" s="126" t="e">
        <f>'[2]BP DECEMBRE '!J59+'[2]BP DECEMBRE '!J60+'[2]BP DECEMBRE '!J61+'[2]BP DECEMBRE '!J62+'[2]BP DECEMBRE '!J63</f>
        <v>#DIV/0!</v>
      </c>
    </row>
    <row r="92" spans="1:21" ht="24" customHeight="1" x14ac:dyDescent="0.25">
      <c r="A92" s="564" t="s">
        <v>392</v>
      </c>
      <c r="B92" s="564"/>
      <c r="C92" s="564"/>
      <c r="D92" s="564"/>
      <c r="E92" s="159">
        <f>'BP FORMAT JUILLET 2023'!F66</f>
        <v>273.48</v>
      </c>
      <c r="F92" s="445"/>
      <c r="G92" s="152"/>
      <c r="H92" s="152"/>
      <c r="I92" s="152"/>
      <c r="J92" s="152"/>
      <c r="K92" s="152"/>
      <c r="L92" s="151" t="e">
        <f>'[2]BP MARS   '!F105</f>
        <v>#DIV/0!</v>
      </c>
      <c r="M92" s="138" t="e">
        <f>'[2]BP AVRIL    '!F105</f>
        <v>#DIV/0!</v>
      </c>
      <c r="N92" s="138" t="e">
        <f>'[2]BP MAI     '!F105</f>
        <v>#DIV/0!</v>
      </c>
      <c r="O92" s="126" t="e">
        <f>+'[2]BP  JUIN '!F105</f>
        <v>#DIV/0!</v>
      </c>
      <c r="P92" s="126" t="e">
        <f>'[2]BP JUILLET '!F105</f>
        <v>#DIV/0!</v>
      </c>
      <c r="Q92" s="126" t="e">
        <f>'[2]BP AOUT '!F105</f>
        <v>#DIV/0!</v>
      </c>
      <c r="R92" s="126" t="e">
        <f>'[2]BP SEPTEMBRE '!F105</f>
        <v>#DIV/0!</v>
      </c>
      <c r="S92" s="126" t="e">
        <f>'[2]BP OCTOBRE '!F105</f>
        <v>#DIV/0!</v>
      </c>
      <c r="T92" s="126" t="e">
        <f>'[2]BP NOVEMBRE '!F105</f>
        <v>#DIV/0!</v>
      </c>
      <c r="U92" s="126" t="e">
        <f>'[2]BP DECEMBRE '!F105</f>
        <v>#DIV/0!</v>
      </c>
    </row>
    <row r="93" spans="1:21" ht="24" customHeight="1" x14ac:dyDescent="0.25">
      <c r="A93" s="564" t="s">
        <v>162</v>
      </c>
      <c r="B93" s="564"/>
      <c r="C93" s="564"/>
      <c r="D93" s="564"/>
      <c r="E93" s="159">
        <f>'BP FORMAT JUILLET 2023'!F67</f>
        <v>116.63</v>
      </c>
      <c r="F93" s="445"/>
      <c r="G93" s="152"/>
      <c r="H93" s="152"/>
      <c r="I93" s="152"/>
      <c r="J93" s="152"/>
      <c r="K93" s="152"/>
      <c r="L93" s="151" t="e">
        <f>'[2]BP MARS   '!F106</f>
        <v>#DIV/0!</v>
      </c>
      <c r="M93" s="138" t="e">
        <f>'[2]BP AVRIL    '!F106</f>
        <v>#DIV/0!</v>
      </c>
      <c r="N93" s="138" t="e">
        <f>'[2]BP MAI     '!F106</f>
        <v>#DIV/0!</v>
      </c>
      <c r="O93" s="126" t="e">
        <f>+'[2]BP  JUIN '!F106</f>
        <v>#DIV/0!</v>
      </c>
      <c r="P93" s="126" t="e">
        <f>'[2]BP JUILLET '!F106</f>
        <v>#DIV/0!</v>
      </c>
      <c r="Q93" s="126" t="e">
        <f>'[2]BP AOUT '!F106</f>
        <v>#DIV/0!</v>
      </c>
      <c r="R93" s="126" t="e">
        <f>'[2]BP SEPTEMBRE '!F106</f>
        <v>#DIV/0!</v>
      </c>
      <c r="S93" s="126" t="e">
        <f>'[2]BP OCTOBRE '!F106</f>
        <v>#DIV/0!</v>
      </c>
      <c r="T93" s="126" t="e">
        <f>'[2]BP NOVEMBRE '!F106</f>
        <v>#DIV/0!</v>
      </c>
      <c r="U93" s="126" t="e">
        <f>'[2]BP DECEMBRE '!F106</f>
        <v>#DIV/0!</v>
      </c>
    </row>
    <row r="94" spans="1:21" ht="24" customHeight="1" x14ac:dyDescent="0.25">
      <c r="A94" s="564" t="s">
        <v>163</v>
      </c>
      <c r="B94" s="564"/>
      <c r="C94" s="564"/>
      <c r="D94" s="564"/>
      <c r="E94" s="159">
        <f>'BP VERSION JANVIER 2023'!F68</f>
        <v>0</v>
      </c>
      <c r="F94" s="445"/>
      <c r="G94" s="152"/>
      <c r="H94" s="152"/>
      <c r="I94" s="152"/>
      <c r="J94" s="152"/>
      <c r="K94" s="152"/>
      <c r="L94" s="151" t="e">
        <f>'[2]BP MARS   '!F107</f>
        <v>#DIV/0!</v>
      </c>
      <c r="M94" s="138" t="e">
        <f>'[2]BP AVRIL    '!F107</f>
        <v>#DIV/0!</v>
      </c>
      <c r="N94" s="138" t="e">
        <f>'[2]BP MAI     '!F107</f>
        <v>#DIV/0!</v>
      </c>
      <c r="O94" s="126" t="e">
        <f>+'[2]BP  JUIN '!F107</f>
        <v>#DIV/0!</v>
      </c>
      <c r="P94" s="126" t="e">
        <f>'[2]BP JUILLET '!F107</f>
        <v>#DIV/0!</v>
      </c>
      <c r="Q94" s="126" t="e">
        <f>'[2]BP AOUT '!F107</f>
        <v>#DIV/0!</v>
      </c>
      <c r="R94" s="126" t="e">
        <f>'[2]BP SEPTEMBRE '!F107</f>
        <v>#DIV/0!</v>
      </c>
      <c r="S94" s="126" t="e">
        <f>'[2]BP OCTOBRE '!F107</f>
        <v>#DIV/0!</v>
      </c>
      <c r="T94" s="126" t="e">
        <f>'[2]BP NOVEMBRE '!F107</f>
        <v>#DIV/0!</v>
      </c>
      <c r="U94" s="126" t="e">
        <f>'[2]BP DECEMBRE '!F107</f>
        <v>#DIV/0!</v>
      </c>
    </row>
    <row r="95" spans="1:21" ht="24" customHeight="1" x14ac:dyDescent="0.25">
      <c r="A95" s="564" t="s">
        <v>164</v>
      </c>
      <c r="B95" s="564"/>
      <c r="C95" s="564"/>
      <c r="D95" s="564"/>
      <c r="E95" s="159">
        <f>'BP FORMAT JUILLET 2023'!F69</f>
        <v>0</v>
      </c>
      <c r="F95" s="445"/>
      <c r="G95" s="152"/>
      <c r="H95" s="152"/>
      <c r="I95" s="152"/>
      <c r="J95" s="152"/>
      <c r="K95" s="152"/>
      <c r="L95" s="151">
        <f>'[2]BP MARS   '!F108</f>
        <v>0</v>
      </c>
      <c r="M95" s="138">
        <f>'[2]BP AVRIL    '!F108</f>
        <v>0</v>
      </c>
      <c r="N95" s="138" t="e">
        <f>'[2]BP MAI     '!F108</f>
        <v>#DIV/0!</v>
      </c>
      <c r="O95" s="126" t="e">
        <f>+'[2]BP  JUIN '!F108</f>
        <v>#DIV/0!</v>
      </c>
      <c r="P95" s="126" t="e">
        <f>'[2]BP JUILLET '!F108</f>
        <v>#DIV/0!</v>
      </c>
      <c r="Q95" s="126" t="e">
        <f>'[2]BP AOUT '!F108</f>
        <v>#DIV/0!</v>
      </c>
      <c r="R95" s="126" t="e">
        <f>'[2]BP SEPTEMBRE '!F108</f>
        <v>#DIV/0!</v>
      </c>
      <c r="S95" s="126" t="e">
        <f>'[2]BP OCTOBRE '!F108</f>
        <v>#DIV/0!</v>
      </c>
      <c r="T95" s="126" t="e">
        <f>'[2]BP NOVEMBRE '!F108</f>
        <v>#DIV/0!</v>
      </c>
      <c r="U95" s="126" t="e">
        <f>'[2]BP DECEMBRE '!F108</f>
        <v>#DIV/0!</v>
      </c>
    </row>
    <row r="96" spans="1:21" ht="24" customHeight="1" x14ac:dyDescent="0.25">
      <c r="A96" s="564" t="s">
        <v>165</v>
      </c>
      <c r="B96" s="564"/>
      <c r="C96" s="564"/>
      <c r="D96" s="564"/>
      <c r="E96" s="159">
        <f>'BP FORMAT JUILLET 2023'!F70</f>
        <v>0</v>
      </c>
      <c r="F96" s="445"/>
      <c r="G96" s="152"/>
      <c r="H96" s="152"/>
      <c r="I96" s="152"/>
      <c r="J96" s="152"/>
      <c r="K96" s="152"/>
      <c r="L96" s="151" t="e">
        <f>'[2]BP MARS   '!F109</f>
        <v>#DIV/0!</v>
      </c>
      <c r="M96" s="138" t="e">
        <f>'[2]BP AVRIL    '!F109</f>
        <v>#DIV/0!</v>
      </c>
      <c r="N96" s="138" t="e">
        <f>'[2]BP MAI     '!F109</f>
        <v>#DIV/0!</v>
      </c>
      <c r="O96" s="126" t="e">
        <f>+'[2]BP  JUIN '!F109</f>
        <v>#DIV/0!</v>
      </c>
      <c r="P96" s="126" t="e">
        <f>'[2]BP JUILLET '!F109</f>
        <v>#DIV/0!</v>
      </c>
      <c r="Q96" s="126" t="e">
        <f>'[2]BP AOUT '!F109</f>
        <v>#DIV/0!</v>
      </c>
      <c r="R96" s="126" t="e">
        <f>'[2]BP SEPTEMBRE '!F109</f>
        <v>#DIV/0!</v>
      </c>
      <c r="S96" s="126" t="e">
        <f>'[2]BP OCTOBRE '!F109</f>
        <v>#DIV/0!</v>
      </c>
      <c r="T96" s="126" t="e">
        <f>'[2]BP NOVEMBRE '!F109</f>
        <v>#DIV/0!</v>
      </c>
      <c r="U96" s="126" t="e">
        <f>'[2]BP DECEMBRE '!F109</f>
        <v>#DIV/0!</v>
      </c>
    </row>
    <row r="97" spans="1:21" ht="24" customHeight="1" x14ac:dyDescent="0.25">
      <c r="A97" s="564" t="s">
        <v>166</v>
      </c>
      <c r="B97" s="564"/>
      <c r="C97" s="564"/>
      <c r="D97" s="564"/>
      <c r="E97" s="159">
        <f>'BP FORMAT JUILLET 2023'!F73+'BP FORMAT JUILLET 2023'!F76+'BP FORMAT JUILLET 2023'!F78+'BP FORMAT JUILLET 2023'!F75+'BP FORMAT JUILLET 2023'!F77</f>
        <v>933.29000000000008</v>
      </c>
      <c r="F97" s="445"/>
      <c r="G97" s="152"/>
      <c r="H97" s="152"/>
      <c r="I97" s="152"/>
      <c r="J97" s="152"/>
      <c r="K97" s="152"/>
      <c r="L97" s="151" t="e">
        <f>'[2]BP MARS   '!F113</f>
        <v>#DIV/0!</v>
      </c>
      <c r="M97" s="138" t="e">
        <f>'[2]BP AVRIL    '!F113</f>
        <v>#DIV/0!</v>
      </c>
      <c r="N97" s="138" t="e">
        <f>'[2]BP MAI     '!F113</f>
        <v>#DIV/0!</v>
      </c>
      <c r="O97" s="126" t="e">
        <f>+'[2]BP  JUIN '!F113</f>
        <v>#DIV/0!</v>
      </c>
      <c r="P97" s="126" t="e">
        <f>'[2]BP JUILLET '!F113</f>
        <v>#DIV/0!</v>
      </c>
      <c r="Q97" s="126" t="e">
        <f>'[2]BP AOUT '!F113</f>
        <v>#DIV/0!</v>
      </c>
      <c r="R97" s="126" t="e">
        <f>'[2]BP SEPTEMBRE '!F113</f>
        <v>#DIV/0!</v>
      </c>
      <c r="S97" s="126" t="e">
        <f>'[2]BP OCTOBRE '!F113</f>
        <v>#DIV/0!</v>
      </c>
      <c r="T97" s="126" t="e">
        <f>'[2]BP NOVEMBRE '!F113</f>
        <v>#DIV/0!</v>
      </c>
      <c r="U97" s="126" t="e">
        <f>'[2]BP DECEMBRE '!F113</f>
        <v>#DIV/0!</v>
      </c>
    </row>
    <row r="98" spans="1:21" ht="24" customHeight="1" x14ac:dyDescent="0.25">
      <c r="A98" s="564" t="s">
        <v>167</v>
      </c>
      <c r="B98" s="564"/>
      <c r="C98" s="564"/>
      <c r="D98" s="564"/>
      <c r="E98" s="159">
        <f>'BP FORMAT JUILLET 2023'!G40+'BP FORMAT JUILLET 2023'!G43</f>
        <v>78.67</v>
      </c>
      <c r="F98" s="445">
        <v>98</v>
      </c>
      <c r="G98" s="152"/>
      <c r="H98" s="152"/>
      <c r="I98" s="152"/>
      <c r="J98" s="152"/>
      <c r="K98" s="152"/>
      <c r="L98" s="151" t="e">
        <f>'[2]BP MARS   '!G79+'[2]BP MARS   '!G80+'[2]BP MARS   '!G82+'[2]BP MARS   '!G83</f>
        <v>#DIV/0!</v>
      </c>
      <c r="M98" s="138" t="e">
        <f>'[2]BP AVRIL    '!G79+'[2]BP AVRIL    '!G80+'[2]BP AVRIL    '!G82+'[2]BP AVRIL    '!G83</f>
        <v>#DIV/0!</v>
      </c>
      <c r="N98" s="138" t="e">
        <f>'[2]BP MAI     '!G79+'[2]BP MAI     '!G80+'[2]BP MAI     '!G82+'[2]BP MAI     '!G83</f>
        <v>#DIV/0!</v>
      </c>
      <c r="O98" s="126" t="e">
        <f>+'[2]BP  JUIN '!G79+'[2]BP  JUIN '!G80+'[2]BP  JUIN '!G82+'[2]BP  JUIN '!G83</f>
        <v>#DIV/0!</v>
      </c>
      <c r="P98" s="126" t="e">
        <f>'[2]BP JUILLET '!G79+'[2]BP JUILLET '!G80+'[2]BP JUILLET '!G82+'[2]BP JUILLET '!G83</f>
        <v>#DIV/0!</v>
      </c>
      <c r="Q98" s="126" t="e">
        <f>'[2]BP AOUT '!G79+'[2]BP AOUT '!G80+'[2]BP AOUT '!G82+'[2]BP AOUT '!G83</f>
        <v>#DIV/0!</v>
      </c>
      <c r="R98" s="126" t="e">
        <f>'[2]BP SEPTEMBRE '!G79+'[2]BP SEPTEMBRE '!G80+'[2]BP SEPTEMBRE '!G82+'[2]BP SEPTEMBRE '!G83</f>
        <v>#DIV/0!</v>
      </c>
      <c r="S98" s="126" t="e">
        <f>'[2]BP OCTOBRE '!G79+'[2]BP OCTOBRE '!G80+'[2]BP OCTOBRE '!G82+'[2]BP OCTOBRE '!G83</f>
        <v>#DIV/0!</v>
      </c>
      <c r="T98" s="126" t="e">
        <f>'[2]BP NOVEMBRE '!G79+'[2]BP NOVEMBRE '!G80+'[2]BP NOVEMBRE '!G82+'[2]BP NOVEMBRE '!G83</f>
        <v>#DIV/0!</v>
      </c>
      <c r="U98" s="126" t="e">
        <f>'[2]BP DECEMBRE '!G79+'[2]BP DECEMBRE '!G80+'[2]BP DECEMBRE '!G82+'[2]BP DECEMBRE '!G83</f>
        <v>#DIV/0!</v>
      </c>
    </row>
    <row r="99" spans="1:21" ht="30" customHeight="1" x14ac:dyDescent="0.25">
      <c r="A99" s="564" t="s">
        <v>386</v>
      </c>
      <c r="B99" s="564"/>
      <c r="C99" s="564"/>
      <c r="D99" s="564"/>
      <c r="E99" s="447">
        <f>'BP FORMAT JUILLET 2023'!G76+'BP FORMAT JUILLET 2023'!G78+'BP FORMAT JUILLET 2023'!G77+'BP FORMAT JUILLET 2023'!G75</f>
        <v>78.67</v>
      </c>
      <c r="F99" s="445">
        <v>99</v>
      </c>
      <c r="G99" s="56"/>
      <c r="H99" s="56"/>
      <c r="I99" s="56"/>
      <c r="J99" s="56"/>
      <c r="K99" s="56"/>
      <c r="L99" s="56"/>
    </row>
    <row r="100" spans="1:21" ht="24" customHeight="1" x14ac:dyDescent="0.25">
      <c r="A100" s="782" t="s">
        <v>223</v>
      </c>
      <c r="B100" s="782"/>
      <c r="C100" s="782"/>
      <c r="D100" s="782"/>
      <c r="E100" s="521">
        <f>E85+E86+E90+E93+E94+E96-E97+E98+E104</f>
        <v>3195.3004575440104</v>
      </c>
      <c r="F100" s="56"/>
      <c r="G100" s="56"/>
      <c r="H100" s="56"/>
      <c r="I100" s="56"/>
      <c r="J100" s="56"/>
      <c r="K100" s="56"/>
      <c r="L100" s="56"/>
    </row>
    <row r="101" spans="1:21" ht="20.25" customHeight="1" x14ac:dyDescent="0.25">
      <c r="C101" s="56"/>
      <c r="E101" s="56"/>
      <c r="F101" s="56"/>
      <c r="G101" s="56"/>
      <c r="H101" s="56"/>
      <c r="I101" s="56"/>
      <c r="J101" s="56"/>
      <c r="K101" s="56"/>
      <c r="L101" s="56"/>
    </row>
    <row r="102" spans="1:21" ht="20.25" customHeight="1" x14ac:dyDescent="0.25">
      <c r="C102" s="56"/>
      <c r="E102" s="56"/>
      <c r="F102" s="56"/>
      <c r="G102" s="56"/>
      <c r="H102" s="56"/>
      <c r="I102" s="56"/>
      <c r="J102" s="56"/>
      <c r="K102" s="56"/>
      <c r="L102" s="56"/>
    </row>
    <row r="103" spans="1:21" ht="20.25" customHeight="1" x14ac:dyDescent="0.25">
      <c r="A103" s="564" t="s">
        <v>219</v>
      </c>
      <c r="B103" s="564"/>
      <c r="C103" s="564"/>
      <c r="D103" s="564"/>
      <c r="E103" s="160">
        <f>+E111</f>
        <v>0</v>
      </c>
      <c r="F103" s="160">
        <f>F111</f>
        <v>0</v>
      </c>
      <c r="G103" s="160"/>
      <c r="H103" s="160"/>
      <c r="I103" s="160"/>
      <c r="J103" s="160"/>
      <c r="K103" s="160">
        <f>+K111</f>
        <v>0</v>
      </c>
      <c r="L103" s="1" t="e">
        <f t="shared" ref="L103:U103" si="28">+L111</f>
        <v>#DIV/0!</v>
      </c>
      <c r="M103" s="139" t="e">
        <f t="shared" si="28"/>
        <v>#DIV/0!</v>
      </c>
      <c r="N103" s="139" t="e">
        <f t="shared" si="28"/>
        <v>#DIV/0!</v>
      </c>
      <c r="O103" s="139" t="e">
        <f t="shared" si="28"/>
        <v>#DIV/0!</v>
      </c>
      <c r="P103" s="139" t="e">
        <f t="shared" si="28"/>
        <v>#DIV/0!</v>
      </c>
      <c r="Q103" s="139" t="e">
        <f t="shared" si="28"/>
        <v>#DIV/0!</v>
      </c>
      <c r="R103" s="139" t="e">
        <f t="shared" si="28"/>
        <v>#DIV/0!</v>
      </c>
      <c r="S103" s="139" t="e">
        <f t="shared" si="28"/>
        <v>#DIV/0!</v>
      </c>
      <c r="T103" s="139" t="e">
        <f t="shared" si="28"/>
        <v>#DIV/0!</v>
      </c>
      <c r="U103" s="139" t="e">
        <f t="shared" si="28"/>
        <v>#DIV/0!</v>
      </c>
    </row>
    <row r="104" spans="1:21" ht="20.25" customHeight="1" x14ac:dyDescent="0.25">
      <c r="A104" s="565" t="s">
        <v>191</v>
      </c>
      <c r="B104" s="566"/>
      <c r="C104" s="566"/>
      <c r="D104" s="567"/>
      <c r="E104" s="160"/>
      <c r="F104" s="160"/>
      <c r="G104" s="160"/>
      <c r="H104" s="160"/>
      <c r="I104" s="160"/>
      <c r="J104" s="160"/>
      <c r="K104" s="160"/>
      <c r="L104" s="1"/>
      <c r="M104" s="139"/>
      <c r="N104" s="139"/>
      <c r="O104" s="139"/>
      <c r="P104" s="139"/>
      <c r="Q104" s="139"/>
      <c r="R104" s="139"/>
      <c r="S104" s="139"/>
      <c r="T104" s="139"/>
      <c r="U104" s="139"/>
    </row>
    <row r="105" spans="1:21" ht="20.25" customHeight="1" x14ac:dyDescent="0.25">
      <c r="A105" s="564" t="s">
        <v>61</v>
      </c>
      <c r="B105" s="564"/>
      <c r="C105" s="564"/>
      <c r="D105" s="564"/>
      <c r="E105" s="160"/>
      <c r="F105" s="160"/>
      <c r="G105" s="160"/>
      <c r="H105" s="160"/>
      <c r="I105" s="160"/>
      <c r="J105" s="160"/>
      <c r="K105" s="160">
        <f t="shared" ref="K105:U105" si="29">K85-K97+K98+K93+K96+K94+K88+K103</f>
        <v>0</v>
      </c>
      <c r="L105" s="140" t="e">
        <f t="shared" si="29"/>
        <v>#DIV/0!</v>
      </c>
      <c r="M105" s="140" t="e">
        <f t="shared" si="29"/>
        <v>#DIV/0!</v>
      </c>
      <c r="N105" s="140" t="e">
        <f t="shared" si="29"/>
        <v>#DIV/0!</v>
      </c>
      <c r="O105" s="140" t="e">
        <f t="shared" si="29"/>
        <v>#DIV/0!</v>
      </c>
      <c r="P105" s="140" t="e">
        <f t="shared" si="29"/>
        <v>#DIV/0!</v>
      </c>
      <c r="Q105" s="140" t="e">
        <f t="shared" si="29"/>
        <v>#DIV/0!</v>
      </c>
      <c r="R105" s="140" t="e">
        <f t="shared" si="29"/>
        <v>#DIV/0!</v>
      </c>
      <c r="S105" s="140" t="e">
        <f t="shared" si="29"/>
        <v>#DIV/0!</v>
      </c>
      <c r="T105" s="140" t="e">
        <f t="shared" si="29"/>
        <v>#DIV/0!</v>
      </c>
      <c r="U105" s="140" t="e">
        <f t="shared" si="29"/>
        <v>#DIV/0!</v>
      </c>
    </row>
    <row r="107" spans="1:21" ht="30.75" customHeight="1" x14ac:dyDescent="0.25">
      <c r="E107" s="158" t="s">
        <v>195</v>
      </c>
      <c r="F107" s="158"/>
      <c r="G107" s="156"/>
      <c r="H107" s="156"/>
      <c r="I107" s="156"/>
      <c r="J107" s="156"/>
      <c r="K107" s="156"/>
      <c r="L107" s="153" t="s">
        <v>151</v>
      </c>
      <c r="M107" s="141" t="s">
        <v>152</v>
      </c>
      <c r="N107" s="141" t="s">
        <v>141</v>
      </c>
      <c r="O107" s="141" t="s">
        <v>142</v>
      </c>
      <c r="P107" s="141" t="s">
        <v>154</v>
      </c>
      <c r="Q107" s="141" t="s">
        <v>155</v>
      </c>
      <c r="R107" s="141" t="s">
        <v>156</v>
      </c>
      <c r="S107" s="141" t="s">
        <v>157</v>
      </c>
      <c r="T107" s="141" t="s">
        <v>158</v>
      </c>
      <c r="U107" s="141" t="s">
        <v>159</v>
      </c>
    </row>
    <row r="108" spans="1:21" ht="20.25" customHeight="1" x14ac:dyDescent="0.25">
      <c r="A108" s="564" t="s">
        <v>168</v>
      </c>
      <c r="B108" s="564"/>
      <c r="C108" s="564"/>
      <c r="D108" s="564"/>
      <c r="E108" s="142">
        <f>C57</f>
        <v>0</v>
      </c>
      <c r="F108" s="142"/>
      <c r="G108" s="157"/>
      <c r="H108" s="157"/>
      <c r="I108" s="157"/>
      <c r="J108" s="157"/>
      <c r="K108" s="108"/>
      <c r="L108" s="154" t="e">
        <f>C60</f>
        <v>#DIV/0!</v>
      </c>
      <c r="M108" s="142" t="e">
        <f>C61</f>
        <v>#DIV/0!</v>
      </c>
      <c r="N108" s="142" t="e">
        <f>C62</f>
        <v>#DIV/0!</v>
      </c>
      <c r="O108" s="142" t="e">
        <f>C63</f>
        <v>#DIV/0!</v>
      </c>
      <c r="P108" s="142" t="e">
        <f>C64</f>
        <v>#DIV/0!</v>
      </c>
      <c r="Q108" s="144" t="e">
        <f>C65</f>
        <v>#DIV/0!</v>
      </c>
      <c r="R108" s="144" t="e">
        <f>C66</f>
        <v>#DIV/0!</v>
      </c>
      <c r="S108" s="144" t="e">
        <f>+C67</f>
        <v>#DIV/0!</v>
      </c>
      <c r="T108" s="144" t="e">
        <f>C68</f>
        <v>#DIV/0!</v>
      </c>
      <c r="U108" s="144" t="e">
        <f>C69</f>
        <v>#DIV/0!</v>
      </c>
    </row>
    <row r="109" spans="1:21" ht="20.25" customHeight="1" x14ac:dyDescent="0.25">
      <c r="A109" s="564" t="s">
        <v>169</v>
      </c>
      <c r="B109" s="564"/>
      <c r="C109" s="564"/>
      <c r="D109" s="564"/>
      <c r="E109" s="142">
        <f>E108</f>
        <v>0</v>
      </c>
      <c r="F109" s="142"/>
      <c r="G109" s="157"/>
      <c r="H109" s="157"/>
      <c r="I109" s="157"/>
      <c r="J109" s="157"/>
      <c r="K109" s="157"/>
      <c r="L109" s="154" t="e">
        <f t="shared" ref="L109:U109" si="30">L108-K108</f>
        <v>#DIV/0!</v>
      </c>
      <c r="M109" s="142" t="e">
        <f t="shared" si="30"/>
        <v>#DIV/0!</v>
      </c>
      <c r="N109" s="142" t="e">
        <f t="shared" si="30"/>
        <v>#DIV/0!</v>
      </c>
      <c r="O109" s="142" t="e">
        <f t="shared" si="30"/>
        <v>#DIV/0!</v>
      </c>
      <c r="P109" s="144" t="e">
        <f t="shared" si="30"/>
        <v>#DIV/0!</v>
      </c>
      <c r="Q109" s="144" t="e">
        <f t="shared" si="30"/>
        <v>#DIV/0!</v>
      </c>
      <c r="R109" s="144" t="e">
        <f t="shared" si="30"/>
        <v>#DIV/0!</v>
      </c>
      <c r="S109" s="144" t="e">
        <f t="shared" si="30"/>
        <v>#DIV/0!</v>
      </c>
      <c r="T109" s="144" t="e">
        <f t="shared" si="30"/>
        <v>#DIV/0!</v>
      </c>
      <c r="U109" s="144" t="e">
        <f t="shared" si="30"/>
        <v>#DIV/0!</v>
      </c>
    </row>
    <row r="110" spans="1:21" ht="20.25" customHeight="1" x14ac:dyDescent="0.25">
      <c r="A110" s="564" t="s">
        <v>220</v>
      </c>
      <c r="B110" s="564"/>
      <c r="C110" s="564"/>
      <c r="D110" s="564"/>
      <c r="E110" s="143">
        <f>IF(E108&lt;8037,0,E108-8037)</f>
        <v>0</v>
      </c>
      <c r="F110" s="143"/>
      <c r="G110" s="108"/>
      <c r="H110" s="108"/>
      <c r="I110" s="108"/>
      <c r="J110" s="108"/>
      <c r="K110" s="108"/>
      <c r="L110" s="155" t="e">
        <f t="shared" ref="L110:U110" si="31">IF(L108&lt;5358,0,L108-5358)</f>
        <v>#DIV/0!</v>
      </c>
      <c r="M110" s="143" t="e">
        <f t="shared" si="31"/>
        <v>#DIV/0!</v>
      </c>
      <c r="N110" s="143" t="e">
        <f t="shared" si="31"/>
        <v>#DIV/0!</v>
      </c>
      <c r="O110" s="143" t="e">
        <f t="shared" si="31"/>
        <v>#DIV/0!</v>
      </c>
      <c r="P110" s="143" t="e">
        <f t="shared" si="31"/>
        <v>#DIV/0!</v>
      </c>
      <c r="Q110" s="143" t="e">
        <f t="shared" si="31"/>
        <v>#DIV/0!</v>
      </c>
      <c r="R110" s="143" t="e">
        <f t="shared" si="31"/>
        <v>#DIV/0!</v>
      </c>
      <c r="S110" s="143" t="e">
        <f t="shared" si="31"/>
        <v>#DIV/0!</v>
      </c>
      <c r="T110" s="143" t="e">
        <f t="shared" si="31"/>
        <v>#DIV/0!</v>
      </c>
      <c r="U110" s="143" t="e">
        <f t="shared" si="31"/>
        <v>#DIV/0!</v>
      </c>
    </row>
    <row r="111" spans="1:21" ht="20.25" customHeight="1" x14ac:dyDescent="0.25">
      <c r="A111" s="564" t="s">
        <v>221</v>
      </c>
      <c r="B111" s="564"/>
      <c r="C111" s="564"/>
      <c r="D111" s="564"/>
      <c r="E111" s="143">
        <f>E110</f>
        <v>0</v>
      </c>
      <c r="F111" s="143"/>
      <c r="G111" s="108"/>
      <c r="H111" s="108"/>
      <c r="I111" s="108"/>
      <c r="J111" s="108"/>
      <c r="K111" s="108"/>
      <c r="L111" s="155" t="e">
        <f t="shared" ref="L111:U111" si="32">L110-K110</f>
        <v>#DIV/0!</v>
      </c>
      <c r="M111" s="143" t="e">
        <f t="shared" si="32"/>
        <v>#DIV/0!</v>
      </c>
      <c r="N111" s="143" t="e">
        <f t="shared" si="32"/>
        <v>#DIV/0!</v>
      </c>
      <c r="O111" s="143" t="e">
        <f t="shared" si="32"/>
        <v>#DIV/0!</v>
      </c>
      <c r="P111" s="143" t="e">
        <f t="shared" si="32"/>
        <v>#DIV/0!</v>
      </c>
      <c r="Q111" s="143" t="e">
        <f t="shared" si="32"/>
        <v>#DIV/0!</v>
      </c>
      <c r="R111" s="143" t="e">
        <f t="shared" si="32"/>
        <v>#DIV/0!</v>
      </c>
      <c r="S111" s="143" t="e">
        <f t="shared" si="32"/>
        <v>#DIV/0!</v>
      </c>
      <c r="T111" s="143" t="e">
        <f t="shared" si="32"/>
        <v>#DIV/0!</v>
      </c>
      <c r="U111" s="143" t="e">
        <f t="shared" si="32"/>
        <v>#DIV/0!</v>
      </c>
    </row>
    <row r="113" spans="1:21" ht="0.75" hidden="1" customHeight="1" x14ac:dyDescent="0.25">
      <c r="E113" s="145" t="s">
        <v>139</v>
      </c>
      <c r="F113" s="145"/>
      <c r="G113" s="145"/>
      <c r="H113" s="145"/>
      <c r="I113" s="145"/>
      <c r="J113" s="145"/>
      <c r="K113" s="145" t="s">
        <v>140</v>
      </c>
      <c r="L113" s="145" t="s">
        <v>151</v>
      </c>
      <c r="M113" s="145" t="s">
        <v>152</v>
      </c>
      <c r="N113" s="145" t="s">
        <v>141</v>
      </c>
      <c r="O113" s="145" t="s">
        <v>142</v>
      </c>
      <c r="P113" s="145" t="s">
        <v>154</v>
      </c>
      <c r="Q113" s="145" t="s">
        <v>155</v>
      </c>
      <c r="R113" s="145" t="s">
        <v>156</v>
      </c>
      <c r="S113" s="145" t="s">
        <v>157</v>
      </c>
      <c r="T113" s="145" t="s">
        <v>158</v>
      </c>
      <c r="U113" s="145" t="s">
        <v>159</v>
      </c>
    </row>
    <row r="114" spans="1:21" ht="0.75" hidden="1" customHeight="1" x14ac:dyDescent="0.25">
      <c r="A114" s="761" t="s">
        <v>170</v>
      </c>
      <c r="B114" s="761"/>
      <c r="C114" s="761"/>
      <c r="D114" s="761"/>
      <c r="E114" s="140">
        <f t="shared" ref="E114:U114" si="33">E85+E88</f>
        <v>3933.2904575440102</v>
      </c>
      <c r="F114" s="140"/>
      <c r="G114" s="140"/>
      <c r="H114" s="140"/>
      <c r="I114" s="140"/>
      <c r="J114" s="140"/>
      <c r="K114" s="140">
        <f t="shared" si="33"/>
        <v>0</v>
      </c>
      <c r="L114" s="140" t="e">
        <f t="shared" si="33"/>
        <v>#DIV/0!</v>
      </c>
      <c r="M114" s="140" t="e">
        <f t="shared" si="33"/>
        <v>#DIV/0!</v>
      </c>
      <c r="N114" s="140" t="e">
        <f t="shared" si="33"/>
        <v>#DIV/0!</v>
      </c>
      <c r="O114" s="140" t="e">
        <f t="shared" si="33"/>
        <v>#DIV/0!</v>
      </c>
      <c r="P114" s="140" t="e">
        <f t="shared" si="33"/>
        <v>#DIV/0!</v>
      </c>
      <c r="Q114" s="140" t="e">
        <f t="shared" si="33"/>
        <v>#DIV/0!</v>
      </c>
      <c r="R114" s="140" t="e">
        <f t="shared" si="33"/>
        <v>#DIV/0!</v>
      </c>
      <c r="S114" s="140" t="e">
        <f t="shared" si="33"/>
        <v>#DIV/0!</v>
      </c>
      <c r="T114" s="140" t="e">
        <f t="shared" si="33"/>
        <v>#DIV/0!</v>
      </c>
      <c r="U114" s="140" t="e">
        <f t="shared" si="33"/>
        <v>#DIV/0!</v>
      </c>
    </row>
    <row r="115" spans="1:21" ht="0.75" hidden="1" customHeight="1" x14ac:dyDescent="0.25">
      <c r="A115" s="761" t="s">
        <v>171</v>
      </c>
      <c r="B115" s="761"/>
      <c r="C115" s="761"/>
      <c r="D115" s="761"/>
      <c r="E115" s="140">
        <f>E91</f>
        <v>0</v>
      </c>
      <c r="F115" s="140"/>
      <c r="G115" s="140"/>
      <c r="H115" s="140"/>
      <c r="I115" s="140"/>
      <c r="J115" s="140"/>
      <c r="K115" s="140">
        <f>K91</f>
        <v>0</v>
      </c>
      <c r="L115" s="140" t="e">
        <f>L91</f>
        <v>#DIV/0!</v>
      </c>
      <c r="M115" s="140" t="e">
        <f>M91</f>
        <v>#DIV/0!</v>
      </c>
      <c r="N115" s="140" t="e">
        <f>N91</f>
        <v>#DIV/0!</v>
      </c>
      <c r="O115" s="126" t="e">
        <f t="shared" ref="O115:U115" si="34">+O91</f>
        <v>#DIV/0!</v>
      </c>
      <c r="P115" s="126" t="e">
        <f t="shared" si="34"/>
        <v>#DIV/0!</v>
      </c>
      <c r="Q115" s="126" t="e">
        <f t="shared" si="34"/>
        <v>#DIV/0!</v>
      </c>
      <c r="R115" s="126" t="e">
        <f t="shared" si="34"/>
        <v>#DIV/0!</v>
      </c>
      <c r="S115" s="126" t="e">
        <f t="shared" si="34"/>
        <v>#DIV/0!</v>
      </c>
      <c r="T115" s="126" t="e">
        <f t="shared" si="34"/>
        <v>#DIV/0!</v>
      </c>
      <c r="U115" s="126" t="e">
        <f t="shared" si="34"/>
        <v>#DIV/0!</v>
      </c>
    </row>
    <row r="116" spans="1:21" ht="0.75" hidden="1" customHeight="1" x14ac:dyDescent="0.25">
      <c r="A116" s="761" t="s">
        <v>172</v>
      </c>
      <c r="B116" s="761"/>
      <c r="C116" s="761"/>
      <c r="D116" s="761"/>
      <c r="E116" s="140">
        <f>E114+E115</f>
        <v>3933.2904575440102</v>
      </c>
      <c r="F116" s="140"/>
      <c r="G116" s="140"/>
      <c r="H116" s="140"/>
      <c r="I116" s="140"/>
      <c r="J116" s="140"/>
      <c r="K116" s="140">
        <f>K115+K114+E116</f>
        <v>3933.2904575440102</v>
      </c>
      <c r="L116" s="140" t="e">
        <f t="shared" ref="L116:U116" si="35">L115+L114+K116</f>
        <v>#DIV/0!</v>
      </c>
      <c r="M116" s="140" t="e">
        <f t="shared" si="35"/>
        <v>#DIV/0!</v>
      </c>
      <c r="N116" s="140" t="e">
        <f t="shared" si="35"/>
        <v>#DIV/0!</v>
      </c>
      <c r="O116" s="140" t="e">
        <f t="shared" si="35"/>
        <v>#DIV/0!</v>
      </c>
      <c r="P116" s="140" t="e">
        <f t="shared" si="35"/>
        <v>#DIV/0!</v>
      </c>
      <c r="Q116" s="140" t="e">
        <f t="shared" si="35"/>
        <v>#DIV/0!</v>
      </c>
      <c r="R116" s="140" t="e">
        <f t="shared" si="35"/>
        <v>#DIV/0!</v>
      </c>
      <c r="S116" s="140" t="e">
        <f t="shared" si="35"/>
        <v>#DIV/0!</v>
      </c>
      <c r="T116" s="140" t="e">
        <f t="shared" si="35"/>
        <v>#DIV/0!</v>
      </c>
      <c r="U116" s="140" t="e">
        <f t="shared" si="35"/>
        <v>#DIV/0!</v>
      </c>
    </row>
    <row r="117" spans="1:21" ht="0.75" hidden="1" customHeight="1" x14ac:dyDescent="0.25">
      <c r="A117" s="761" t="s">
        <v>173</v>
      </c>
      <c r="B117" s="761"/>
      <c r="C117" s="761"/>
      <c r="D117" s="761"/>
      <c r="E117" s="140">
        <f>D24</f>
        <v>3428</v>
      </c>
      <c r="F117" s="140"/>
      <c r="G117" s="140"/>
      <c r="H117" s="140"/>
      <c r="I117" s="140"/>
      <c r="J117" s="140"/>
      <c r="K117" s="140">
        <f>D25</f>
        <v>3428</v>
      </c>
      <c r="L117" s="140">
        <f>D26</f>
        <v>3428</v>
      </c>
      <c r="M117" s="140">
        <f>D27</f>
        <v>3428</v>
      </c>
      <c r="N117" s="140">
        <f>D28</f>
        <v>3428</v>
      </c>
      <c r="O117" s="102">
        <f>D29</f>
        <v>3428</v>
      </c>
      <c r="P117" s="102">
        <f>D30</f>
        <v>3428</v>
      </c>
      <c r="Q117" s="104"/>
      <c r="R117" s="104"/>
      <c r="S117" s="104"/>
      <c r="T117" s="104"/>
      <c r="U117" s="104"/>
    </row>
    <row r="118" spans="1:21" ht="0.75" hidden="1" customHeight="1" x14ac:dyDescent="0.25">
      <c r="A118" s="761" t="s">
        <v>174</v>
      </c>
      <c r="B118" s="761"/>
      <c r="C118" s="761"/>
      <c r="D118" s="761"/>
      <c r="E118" s="140">
        <f t="shared" ref="E118:U118" si="36">4*E117</f>
        <v>13712</v>
      </c>
      <c r="F118" s="140"/>
      <c r="G118" s="140"/>
      <c r="H118" s="140"/>
      <c r="I118" s="140"/>
      <c r="J118" s="140"/>
      <c r="K118" s="140">
        <f t="shared" si="36"/>
        <v>13712</v>
      </c>
      <c r="L118" s="140">
        <f t="shared" si="36"/>
        <v>13712</v>
      </c>
      <c r="M118" s="140">
        <f t="shared" si="36"/>
        <v>13712</v>
      </c>
      <c r="N118" s="140">
        <f t="shared" si="36"/>
        <v>13712</v>
      </c>
      <c r="O118" s="140">
        <f t="shared" si="36"/>
        <v>13712</v>
      </c>
      <c r="P118" s="140">
        <f t="shared" si="36"/>
        <v>13712</v>
      </c>
      <c r="Q118" s="140">
        <f t="shared" si="36"/>
        <v>0</v>
      </c>
      <c r="R118" s="140">
        <f t="shared" si="36"/>
        <v>0</v>
      </c>
      <c r="S118" s="140">
        <f t="shared" si="36"/>
        <v>0</v>
      </c>
      <c r="T118" s="140">
        <f t="shared" si="36"/>
        <v>0</v>
      </c>
      <c r="U118" s="140">
        <f t="shared" si="36"/>
        <v>0</v>
      </c>
    </row>
    <row r="119" spans="1:21" ht="0.75" hidden="1" customHeight="1" x14ac:dyDescent="0.25">
      <c r="A119" s="765" t="s">
        <v>175</v>
      </c>
      <c r="B119" s="766"/>
      <c r="C119" s="766"/>
      <c r="D119" s="767"/>
      <c r="E119" s="140">
        <f>'[2]BP  JANV. COMMENTE 1   '!G80+'[2]BP  JANV. COMMENTE 1   '!G81+'[2]BP  JANV. COMMENTE 1   '!G82+'[2]BP  JANV. COMMENTE 1   '!G83+'[2]BP  JANV. COMMENTE 1   '!G84+'[2]BP  JANV. COMMENTE 1   '!G85</f>
        <v>245.54</v>
      </c>
      <c r="F119" s="140"/>
      <c r="G119" s="140"/>
      <c r="H119" s="140"/>
      <c r="I119" s="140"/>
      <c r="J119" s="140"/>
      <c r="K119" s="140">
        <f>'[2]BP FEVRIER    '!G79+'[2]BP FEVRIER    '!G80+'[2]BP FEVRIER    '!G81+'[2]BP FEVRIER    '!G82+'[2]BP FEVRIER    '!G83+'[2]BP FEVRIER    '!G84+'[2]BP FEVRIER    '!G85</f>
        <v>0</v>
      </c>
      <c r="L119" s="140" t="e">
        <f>'[2]BP MARS   '!G79+'[2]BP MARS   '!G80+'[2]BP MARS   '!G81+'[2]BP MARS   '!G82+'[2]BP MARS   '!G83+'[2]BP MARS   '!G84+'[2]BP MARS   '!G85</f>
        <v>#DIV/0!</v>
      </c>
      <c r="M119" s="140" t="e">
        <f>'[2]BP AVRIL    '!G79+'[2]BP AVRIL    '!G80+'[2]BP AVRIL    '!G81+'[2]BP AVRIL    '!G82+'[2]BP AVRIL    '!G83+'[2]BP AVRIL    '!G84+'[2]BP AVRIL    '!G85</f>
        <v>#DIV/0!</v>
      </c>
      <c r="N119" s="140" t="e">
        <f>'[2]BP MAI     '!G79+'[2]BP MAI     '!G80+'[2]BP MAI     '!G81+'[2]BP MAI     '!G82+'[2]BP MAI     '!G83+'[2]BP MAI     '!G84+'[2]BP MAI     '!G87</f>
        <v>#DIV/0!</v>
      </c>
      <c r="O119" s="140" t="e">
        <f>'[2]BP  JUIN '!G79+'[2]BP  JUIN '!G80+'[2]BP  JUIN '!G81+'[2]BP  JUIN '!G82+'[2]BP  JUIN '!G83+'[2]BP  JUIN '!G84+'[2]BP  JUIN '!G87</f>
        <v>#DIV/0!</v>
      </c>
      <c r="P119" s="126" t="e">
        <f>+'[2]BP JUILLET '!G79+'[2]BP JUILLET '!G80+'[2]BP JUILLET '!G81+'[2]BP JUILLET '!G82+'[2]BP JUILLET '!G83+'[2]BP JUILLET '!G84+'[2]BP JUILLET '!G87</f>
        <v>#DIV/0!</v>
      </c>
      <c r="Q119" s="104"/>
      <c r="R119" s="104"/>
      <c r="S119" s="104"/>
      <c r="T119" s="104"/>
      <c r="U119" s="104"/>
    </row>
    <row r="120" spans="1:21" ht="0.75" hidden="1" customHeight="1" x14ac:dyDescent="0.25">
      <c r="A120" s="761" t="s">
        <v>176</v>
      </c>
      <c r="B120" s="761"/>
      <c r="C120" s="761"/>
      <c r="D120" s="761"/>
      <c r="E120" s="105">
        <f t="shared" ref="E120:U120" si="37">IF(E114&lt;=E118,E114*0.9825+E119,E118*0.9825+E114-E118+E119)</f>
        <v>4109.9978745369908</v>
      </c>
      <c r="F120" s="105"/>
      <c r="G120" s="105"/>
      <c r="H120" s="105"/>
      <c r="I120" s="105"/>
      <c r="J120" s="105"/>
      <c r="K120" s="105">
        <f t="shared" si="37"/>
        <v>0</v>
      </c>
      <c r="L120" s="105" t="e">
        <f t="shared" si="37"/>
        <v>#DIV/0!</v>
      </c>
      <c r="M120" s="105" t="e">
        <f t="shared" si="37"/>
        <v>#DIV/0!</v>
      </c>
      <c r="N120" s="105" t="e">
        <f t="shared" si="37"/>
        <v>#DIV/0!</v>
      </c>
      <c r="O120" s="105" t="e">
        <f t="shared" si="37"/>
        <v>#DIV/0!</v>
      </c>
      <c r="P120" s="105" t="e">
        <f t="shared" si="37"/>
        <v>#DIV/0!</v>
      </c>
      <c r="Q120" s="105" t="e">
        <f t="shared" si="37"/>
        <v>#DIV/0!</v>
      </c>
      <c r="R120" s="105" t="e">
        <f t="shared" si="37"/>
        <v>#DIV/0!</v>
      </c>
      <c r="S120" s="105" t="e">
        <f t="shared" si="37"/>
        <v>#DIV/0!</v>
      </c>
      <c r="T120" s="105" t="e">
        <f t="shared" si="37"/>
        <v>#DIV/0!</v>
      </c>
      <c r="U120" s="105" t="e">
        <f t="shared" si="37"/>
        <v>#DIV/0!</v>
      </c>
    </row>
    <row r="121" spans="1:21" ht="0.75" hidden="1" customHeight="1" x14ac:dyDescent="0.25">
      <c r="A121" s="761" t="s">
        <v>177</v>
      </c>
      <c r="B121" s="761"/>
      <c r="C121" s="761"/>
      <c r="D121" s="761"/>
      <c r="E121" s="4"/>
      <c r="F121" s="4"/>
      <c r="G121" s="4"/>
      <c r="H121" s="4"/>
      <c r="I121" s="4"/>
      <c r="J121" s="4"/>
      <c r="K121" s="4"/>
      <c r="L121" s="4"/>
      <c r="M121" s="4"/>
      <c r="N121" s="4"/>
      <c r="O121" s="4"/>
    </row>
    <row r="122" spans="1:21" ht="0.75" hidden="1" customHeight="1" x14ac:dyDescent="0.25"/>
    <row r="123" spans="1:21" ht="0.75" hidden="1" customHeight="1" x14ac:dyDescent="0.25"/>
    <row r="124" spans="1:21" ht="0.75" hidden="1" customHeight="1" x14ac:dyDescent="0.25">
      <c r="B124" s="4">
        <v>13000</v>
      </c>
      <c r="D124" s="61">
        <v>1000</v>
      </c>
    </row>
    <row r="125" spans="1:21" x14ac:dyDescent="0.25">
      <c r="B125" s="518" t="s">
        <v>388</v>
      </c>
      <c r="C125" s="519">
        <f>'BP FORMAT JUILLET 2023'!C33</f>
        <v>4005</v>
      </c>
    </row>
    <row r="126" spans="1:21" x14ac:dyDescent="0.25">
      <c r="I126" s="12"/>
    </row>
    <row r="127" spans="1:21" x14ac:dyDescent="0.25">
      <c r="A127" t="s">
        <v>180</v>
      </c>
    </row>
    <row r="129" spans="1:11" s="62" customFormat="1" x14ac:dyDescent="0.25">
      <c r="A129">
        <v>3</v>
      </c>
      <c r="B129" s="779" t="s">
        <v>183</v>
      </c>
      <c r="C129" s="780"/>
      <c r="D129" s="457">
        <f>C125</f>
        <v>4005</v>
      </c>
      <c r="F129" s="67"/>
      <c r="H129" s="451"/>
    </row>
    <row r="130" spans="1:11" s="62" customFormat="1" x14ac:dyDescent="0.25">
      <c r="A130">
        <v>4</v>
      </c>
      <c r="B130" s="732" t="s">
        <v>181</v>
      </c>
      <c r="C130" s="734"/>
      <c r="D130" s="457">
        <f>E85+E90</f>
        <v>3933.2904575440102</v>
      </c>
      <c r="E130" s="448"/>
      <c r="F130" s="449"/>
      <c r="K130" s="168"/>
    </row>
    <row r="131" spans="1:11" s="62" customFormat="1" x14ac:dyDescent="0.25">
      <c r="A131">
        <v>5</v>
      </c>
      <c r="B131" s="732" t="s">
        <v>182</v>
      </c>
      <c r="C131" s="734"/>
      <c r="D131" s="457">
        <f>E57</f>
        <v>0</v>
      </c>
      <c r="E131" s="448"/>
      <c r="F131" s="449"/>
      <c r="K131" s="168"/>
    </row>
    <row r="132" spans="1:11" s="62" customFormat="1" x14ac:dyDescent="0.25">
      <c r="A132">
        <v>6</v>
      </c>
      <c r="B132" s="732" t="s">
        <v>391</v>
      </c>
      <c r="C132" s="734"/>
      <c r="D132" s="458">
        <f>G57</f>
        <v>0</v>
      </c>
      <c r="E132" s="448"/>
      <c r="F132" s="449"/>
      <c r="H132" s="452"/>
      <c r="K132" s="168"/>
    </row>
    <row r="133" spans="1:11" s="62" customFormat="1" x14ac:dyDescent="0.25">
      <c r="A133">
        <v>7</v>
      </c>
      <c r="B133" s="732" t="s">
        <v>179</v>
      </c>
      <c r="C133" s="734"/>
      <c r="D133" s="457">
        <f>D130+D131+D132</f>
        <v>3933.2904575440102</v>
      </c>
      <c r="E133" s="450"/>
      <c r="F133" s="449"/>
      <c r="H133" s="452"/>
    </row>
    <row r="134" spans="1:11" s="62" customFormat="1" x14ac:dyDescent="0.25">
      <c r="A134">
        <v>8</v>
      </c>
      <c r="B134" s="732" t="s">
        <v>184</v>
      </c>
      <c r="C134" s="734"/>
      <c r="D134" s="457">
        <f>E98+E99</f>
        <v>157.34</v>
      </c>
      <c r="H134" s="169"/>
      <c r="I134" s="169"/>
    </row>
    <row r="135" spans="1:11" s="62" customFormat="1" x14ac:dyDescent="0.25">
      <c r="A135">
        <v>9</v>
      </c>
      <c r="F135" s="310" t="s">
        <v>59</v>
      </c>
      <c r="H135" s="169"/>
      <c r="I135" s="169"/>
      <c r="K135" s="67"/>
    </row>
    <row r="136" spans="1:11" s="62" customFormat="1" x14ac:dyDescent="0.25">
      <c r="A136">
        <v>10</v>
      </c>
      <c r="B136" s="762" t="s">
        <v>190</v>
      </c>
      <c r="C136" s="763"/>
      <c r="D136" s="764"/>
      <c r="E136" s="63">
        <v>6.8000000000000005E-2</v>
      </c>
      <c r="F136" s="171">
        <f>IF(D133&lt;D129,D130*0.9825+D134,IF(D130&gt;D129,D129*0.9825+D130-D129+D134, D130*0.9825+D134))</f>
        <v>4021.7978745369905</v>
      </c>
      <c r="H136" s="12"/>
      <c r="I136" s="170"/>
    </row>
    <row r="137" spans="1:11" s="62" customFormat="1" x14ac:dyDescent="0.25">
      <c r="A137">
        <v>11</v>
      </c>
      <c r="B137" s="762" t="s">
        <v>185</v>
      </c>
      <c r="C137" s="763"/>
      <c r="D137" s="764"/>
      <c r="E137" s="63">
        <v>6.8000000000000005E-2</v>
      </c>
      <c r="F137" s="455">
        <f>IF(D133&gt;D129,IF(D130&gt;D129,D131,IF((D129-D130)&gt;D132,(D129-D130-D132)*0.9825+D131-(D129-D130-D132),D131)),D131*0.9825)</f>
        <v>0</v>
      </c>
      <c r="H137" s="170"/>
      <c r="I137" s="170"/>
      <c r="J137" s="67"/>
    </row>
    <row r="138" spans="1:11" s="62" customFormat="1" x14ac:dyDescent="0.25">
      <c r="A138">
        <v>12</v>
      </c>
      <c r="B138" s="762" t="s">
        <v>186</v>
      </c>
      <c r="C138" s="763"/>
      <c r="D138" s="764"/>
      <c r="E138" s="63">
        <v>6.8000000000000005E-2</v>
      </c>
      <c r="F138" s="456">
        <f>IF(D133&lt;D129,D132*0.9825,IF(D130&gt;D129,D132,IF((D129-D130)&gt;D132,D132*0.9825,(D129-D130)*0.9825+D132-(D129-D130))))</f>
        <v>0</v>
      </c>
      <c r="H138" s="67"/>
    </row>
    <row r="139" spans="1:11" s="62" customFormat="1" x14ac:dyDescent="0.25">
      <c r="A139">
        <v>13</v>
      </c>
      <c r="B139" s="762" t="s">
        <v>187</v>
      </c>
      <c r="C139" s="763"/>
      <c r="D139" s="764"/>
      <c r="E139" s="63">
        <v>2.9000000000000001E-2</v>
      </c>
      <c r="F139" s="65">
        <f>F136</f>
        <v>4021.7978745369905</v>
      </c>
    </row>
    <row r="140" spans="1:11" s="62" customFormat="1" x14ac:dyDescent="0.25">
      <c r="A140">
        <v>14</v>
      </c>
      <c r="B140" s="762" t="s">
        <v>188</v>
      </c>
      <c r="C140" s="763"/>
      <c r="D140" s="764"/>
      <c r="E140" s="63">
        <v>2.9000000000000001E-2</v>
      </c>
      <c r="F140" s="65">
        <f>F137+F138</f>
        <v>0</v>
      </c>
    </row>
    <row r="141" spans="1:11" s="62" customFormat="1" x14ac:dyDescent="0.25">
      <c r="A141">
        <v>15</v>
      </c>
      <c r="B141" s="762" t="s">
        <v>189</v>
      </c>
      <c r="C141" s="763"/>
      <c r="D141" s="764"/>
      <c r="E141" s="187">
        <f>'HEURES SUPPLEMENTAIRES '!D57</f>
        <v>0.11310000000000001</v>
      </c>
      <c r="F141" s="65">
        <f>D131</f>
        <v>0</v>
      </c>
    </row>
  </sheetData>
  <mergeCells count="62">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7" workbookViewId="0">
      <selection activeCell="C12" sqref="C12"/>
    </sheetView>
  </sheetViews>
  <sheetFormatPr baseColWidth="10" defaultColWidth="11.42578125" defaultRowHeight="15.75" x14ac:dyDescent="0.25"/>
  <cols>
    <col min="1" max="1" width="3.28515625" style="191" customWidth="1"/>
    <col min="2" max="3" width="23.28515625" style="191" customWidth="1"/>
    <col min="4" max="4" width="11.42578125" style="191"/>
    <col min="5" max="5" width="11.85546875" style="192" bestFit="1" customWidth="1"/>
    <col min="6" max="6" width="17.85546875" style="191" bestFit="1" customWidth="1"/>
    <col min="7" max="7" width="18.85546875" style="191" bestFit="1" customWidth="1"/>
    <col min="8" max="16384" width="11.42578125" style="191"/>
  </cols>
  <sheetData>
    <row r="1" spans="2:11" ht="20.25" customHeight="1" x14ac:dyDescent="0.25">
      <c r="B1" s="785" t="s">
        <v>436</v>
      </c>
      <c r="C1" s="785"/>
      <c r="D1" s="785"/>
      <c r="E1" s="785"/>
      <c r="F1" s="785"/>
      <c r="G1" s="785"/>
      <c r="H1" s="785"/>
    </row>
    <row r="2" spans="2:11" ht="14.25" customHeight="1" x14ac:dyDescent="0.25"/>
    <row r="3" spans="2:11" ht="14.25" customHeight="1" x14ac:dyDescent="0.25"/>
    <row r="4" spans="2:11" ht="14.25" customHeight="1" x14ac:dyDescent="0.25"/>
    <row r="5" spans="2:11" ht="14.25" customHeight="1" x14ac:dyDescent="0.25"/>
    <row r="6" spans="2:11" ht="14.25" customHeight="1" x14ac:dyDescent="0.25">
      <c r="C6" s="41" t="s">
        <v>99</v>
      </c>
      <c r="D6" s="41" t="s">
        <v>100</v>
      </c>
      <c r="E6" s="41"/>
      <c r="J6" s="193"/>
      <c r="K6" s="194"/>
    </row>
    <row r="7" spans="2:11" ht="14.25" customHeight="1" x14ac:dyDescent="0.25">
      <c r="B7" s="537">
        <v>0</v>
      </c>
      <c r="C7" s="537">
        <v>1620</v>
      </c>
      <c r="D7" s="486">
        <v>0</v>
      </c>
      <c r="E7" s="487">
        <f t="shared" ref="E7:E26" si="0" xml:space="preserve"> IF($H$11&gt;=B7,IF($H$11&lt;C7,D7,0),0)</f>
        <v>0</v>
      </c>
    </row>
    <row r="8" spans="2:11" ht="14.25" customHeight="1" x14ac:dyDescent="0.25">
      <c r="B8" s="537">
        <f>C7</f>
        <v>1620</v>
      </c>
      <c r="C8" s="537">
        <v>1683</v>
      </c>
      <c r="D8" s="432">
        <v>5.0000000000000001E-3</v>
      </c>
      <c r="E8" s="432">
        <f t="shared" si="0"/>
        <v>0</v>
      </c>
    </row>
    <row r="9" spans="2:11" ht="14.25" customHeight="1" x14ac:dyDescent="0.25">
      <c r="B9" s="537">
        <f>C8</f>
        <v>1683</v>
      </c>
      <c r="C9" s="537">
        <v>1791</v>
      </c>
      <c r="D9" s="432">
        <v>1.2999999999999999E-2</v>
      </c>
      <c r="E9" s="432">
        <f t="shared" si="0"/>
        <v>0</v>
      </c>
    </row>
    <row r="10" spans="2:11" ht="14.25" customHeight="1" x14ac:dyDescent="0.25">
      <c r="B10" s="537">
        <f>C9</f>
        <v>1791</v>
      </c>
      <c r="C10" s="537">
        <v>1911</v>
      </c>
      <c r="D10" s="432">
        <v>2.1000000000000001E-2</v>
      </c>
      <c r="E10" s="432">
        <f t="shared" si="0"/>
        <v>0</v>
      </c>
      <c r="G10" s="783" t="s">
        <v>196</v>
      </c>
      <c r="H10" s="784"/>
    </row>
    <row r="11" spans="2:11" ht="14.25" customHeight="1" x14ac:dyDescent="0.25">
      <c r="B11" s="537">
        <f>C10</f>
        <v>1911</v>
      </c>
      <c r="C11" s="537">
        <v>2042</v>
      </c>
      <c r="D11" s="432">
        <v>2.9000000000000001E-2</v>
      </c>
      <c r="E11" s="432">
        <f t="shared" si="0"/>
        <v>0</v>
      </c>
      <c r="G11" s="199" t="s">
        <v>97</v>
      </c>
      <c r="H11" s="200">
        <f>+'BP FORMAT JUILLET 2023'!D89</f>
        <v>3195.3004575440104</v>
      </c>
    </row>
    <row r="12" spans="2:11" ht="14.25" customHeight="1" x14ac:dyDescent="0.25">
      <c r="B12" s="537">
        <f>C11</f>
        <v>2042</v>
      </c>
      <c r="C12" s="537">
        <v>2151</v>
      </c>
      <c r="D12" s="432">
        <v>3.5000000000000003E-2</v>
      </c>
      <c r="E12" s="432">
        <f t="shared" si="0"/>
        <v>0</v>
      </c>
      <c r="G12" s="199" t="s">
        <v>98</v>
      </c>
      <c r="H12" s="201">
        <f>E27</f>
        <v>9.9000000000000005E-2</v>
      </c>
    </row>
    <row r="13" spans="2:11" ht="14.25" customHeight="1" x14ac:dyDescent="0.25">
      <c r="B13" s="537">
        <f t="shared" ref="B13:B24" si="1">C12</f>
        <v>2151</v>
      </c>
      <c r="C13" s="537">
        <v>2294</v>
      </c>
      <c r="D13" s="432">
        <v>4.1000000000000002E-2</v>
      </c>
      <c r="E13" s="432">
        <f t="shared" si="0"/>
        <v>0</v>
      </c>
    </row>
    <row r="14" spans="2:11" ht="14.25" customHeight="1" x14ac:dyDescent="0.25">
      <c r="B14" s="537">
        <f t="shared" si="1"/>
        <v>2294</v>
      </c>
      <c r="C14" s="537">
        <v>2714</v>
      </c>
      <c r="D14" s="432">
        <v>5.2999999999999999E-2</v>
      </c>
      <c r="E14" s="432">
        <f t="shared" si="0"/>
        <v>0</v>
      </c>
    </row>
    <row r="15" spans="2:11" ht="14.25" customHeight="1" x14ac:dyDescent="0.25">
      <c r="B15" s="537">
        <f t="shared" si="1"/>
        <v>2714</v>
      </c>
      <c r="C15" s="537">
        <v>3107</v>
      </c>
      <c r="D15" s="432">
        <v>7.4999999999999997E-2</v>
      </c>
      <c r="E15" s="432">
        <f t="shared" si="0"/>
        <v>0</v>
      </c>
    </row>
    <row r="16" spans="2:11" ht="14.25" customHeight="1" x14ac:dyDescent="0.25">
      <c r="B16" s="537">
        <f t="shared" si="1"/>
        <v>3107</v>
      </c>
      <c r="C16" s="537">
        <v>3539</v>
      </c>
      <c r="D16" s="432">
        <v>9.9000000000000005E-2</v>
      </c>
      <c r="E16" s="432">
        <f t="shared" si="0"/>
        <v>9.9000000000000005E-2</v>
      </c>
    </row>
    <row r="17" spans="2:11" ht="14.25" customHeight="1" x14ac:dyDescent="0.25">
      <c r="B17" s="537">
        <f t="shared" si="1"/>
        <v>3539</v>
      </c>
      <c r="C17" s="537">
        <v>3983</v>
      </c>
      <c r="D17" s="432">
        <v>0.11899999999999999</v>
      </c>
      <c r="E17" s="432">
        <f t="shared" si="0"/>
        <v>0</v>
      </c>
    </row>
    <row r="18" spans="2:11" ht="14.25" customHeight="1" x14ac:dyDescent="0.25">
      <c r="B18" s="537">
        <f t="shared" si="1"/>
        <v>3983</v>
      </c>
      <c r="C18" s="537">
        <v>4648</v>
      </c>
      <c r="D18" s="432">
        <v>0.13800000000000001</v>
      </c>
      <c r="E18" s="432">
        <f t="shared" si="0"/>
        <v>0</v>
      </c>
    </row>
    <row r="19" spans="2:11" ht="14.25" customHeight="1" x14ac:dyDescent="0.25">
      <c r="B19" s="537">
        <f t="shared" si="1"/>
        <v>4648</v>
      </c>
      <c r="C19" s="537">
        <v>5574</v>
      </c>
      <c r="D19" s="432">
        <v>0.158</v>
      </c>
      <c r="E19" s="432">
        <f t="shared" si="0"/>
        <v>0</v>
      </c>
    </row>
    <row r="20" spans="2:11" ht="14.25" customHeight="1" x14ac:dyDescent="0.25">
      <c r="B20" s="537">
        <f t="shared" si="1"/>
        <v>5574</v>
      </c>
      <c r="C20" s="537">
        <v>6974</v>
      </c>
      <c r="D20" s="432">
        <v>0.17899999999999999</v>
      </c>
      <c r="E20" s="432">
        <f t="shared" si="0"/>
        <v>0</v>
      </c>
    </row>
    <row r="21" spans="2:11" ht="14.25" customHeight="1" x14ac:dyDescent="0.25">
      <c r="B21" s="537">
        <f t="shared" si="1"/>
        <v>6974</v>
      </c>
      <c r="C21" s="537">
        <v>8711</v>
      </c>
      <c r="D21" s="432">
        <v>0.2</v>
      </c>
      <c r="E21" s="432">
        <f t="shared" si="0"/>
        <v>0</v>
      </c>
    </row>
    <row r="22" spans="2:11" ht="14.25" customHeight="1" x14ac:dyDescent="0.25">
      <c r="B22" s="537">
        <f t="shared" si="1"/>
        <v>8711</v>
      </c>
      <c r="C22" s="537">
        <v>12091</v>
      </c>
      <c r="D22" s="432">
        <v>0.24</v>
      </c>
      <c r="E22" s="432">
        <f t="shared" si="0"/>
        <v>0</v>
      </c>
    </row>
    <row r="23" spans="2:11" ht="14.25" customHeight="1" x14ac:dyDescent="0.25">
      <c r="B23" s="537">
        <f t="shared" si="1"/>
        <v>12091</v>
      </c>
      <c r="C23" s="537">
        <v>16376</v>
      </c>
      <c r="D23" s="432">
        <v>0.28000000000000003</v>
      </c>
      <c r="E23" s="432">
        <f t="shared" si="0"/>
        <v>0</v>
      </c>
    </row>
    <row r="24" spans="2:11" ht="14.25" customHeight="1" x14ac:dyDescent="0.25">
      <c r="B24" s="537">
        <f t="shared" si="1"/>
        <v>16376</v>
      </c>
      <c r="C24" s="537">
        <v>25706</v>
      </c>
      <c r="D24" s="432">
        <v>0.33</v>
      </c>
      <c r="E24" s="432">
        <f t="shared" si="0"/>
        <v>0</v>
      </c>
    </row>
    <row r="25" spans="2:11" ht="14.25" customHeight="1" x14ac:dyDescent="0.25">
      <c r="B25" s="537">
        <f>C24</f>
        <v>25706</v>
      </c>
      <c r="C25" s="537">
        <v>55062</v>
      </c>
      <c r="D25" s="432">
        <v>0.38</v>
      </c>
      <c r="E25" s="432">
        <f t="shared" si="0"/>
        <v>0</v>
      </c>
    </row>
    <row r="26" spans="2:11" ht="14.25" customHeight="1" x14ac:dyDescent="0.25">
      <c r="B26" s="537">
        <f>C25</f>
        <v>55062</v>
      </c>
      <c r="C26" s="537"/>
      <c r="D26" s="432">
        <v>0.43</v>
      </c>
      <c r="E26" s="432">
        <f t="shared" si="0"/>
        <v>0</v>
      </c>
    </row>
    <row r="27" spans="2:11" ht="14.25" customHeight="1" x14ac:dyDescent="0.25">
      <c r="B27" s="538"/>
      <c r="C27" s="538"/>
      <c r="E27" s="198">
        <f>SUM(E7:E26)</f>
        <v>9.9000000000000005E-2</v>
      </c>
    </row>
    <row r="28" spans="2:11" ht="18" customHeight="1" x14ac:dyDescent="0.25"/>
    <row r="29" spans="2:11" ht="14.25" hidden="1" customHeight="1" x14ac:dyDescent="0.25">
      <c r="B29" s="539" t="s">
        <v>488</v>
      </c>
      <c r="C29" s="539"/>
      <c r="J29" s="786"/>
      <c r="K29" s="786"/>
    </row>
    <row r="30" spans="2:11" ht="14.25" hidden="1" customHeight="1" x14ac:dyDescent="0.25">
      <c r="D30" s="41" t="s">
        <v>100</v>
      </c>
      <c r="E30" s="41"/>
      <c r="K30" s="202"/>
    </row>
    <row r="31" spans="2:11" ht="14.25" hidden="1" customHeight="1" x14ac:dyDescent="0.25">
      <c r="D31" s="195">
        <v>0</v>
      </c>
      <c r="E31" s="196">
        <f t="shared" ref="E31:E50" si="2" xml:space="preserve"> IF($G$34&gt;=B31,IF($G$34&lt;C31,D31,0),0)</f>
        <v>0</v>
      </c>
      <c r="K31" s="203"/>
    </row>
    <row r="32" spans="2:11" ht="14.25" hidden="1" customHeight="1" x14ac:dyDescent="0.25">
      <c r="D32" s="197">
        <v>5.0000000000000001E-3</v>
      </c>
      <c r="E32" s="198">
        <f t="shared" si="2"/>
        <v>0</v>
      </c>
      <c r="F32" s="204"/>
    </row>
    <row r="33" spans="4:7" ht="14.25" hidden="1" customHeight="1" x14ac:dyDescent="0.25">
      <c r="D33" s="197">
        <v>1.2999999999999999E-2</v>
      </c>
      <c r="E33" s="198">
        <f t="shared" si="2"/>
        <v>0</v>
      </c>
      <c r="F33" s="204"/>
      <c r="G33" s="199" t="s">
        <v>197</v>
      </c>
    </row>
    <row r="34" spans="4:7" ht="14.25" hidden="1" customHeight="1" x14ac:dyDescent="0.25">
      <c r="D34" s="198">
        <v>2.1000000000000001E-2</v>
      </c>
      <c r="E34" s="198">
        <f t="shared" si="2"/>
        <v>0</v>
      </c>
      <c r="F34" s="204"/>
      <c r="G34" s="200"/>
    </row>
    <row r="35" spans="4:7" ht="14.25" hidden="1" customHeight="1" x14ac:dyDescent="0.25">
      <c r="D35" s="198">
        <v>2.9000000000000001E-2</v>
      </c>
      <c r="E35" s="198">
        <f t="shared" si="2"/>
        <v>0</v>
      </c>
      <c r="F35" s="204"/>
      <c r="G35" s="201"/>
    </row>
    <row r="36" spans="4:7" ht="14.25" hidden="1" customHeight="1" x14ac:dyDescent="0.25">
      <c r="D36" s="198">
        <v>3.5000000000000003E-2</v>
      </c>
      <c r="E36" s="198">
        <f t="shared" si="2"/>
        <v>0</v>
      </c>
      <c r="F36" s="204"/>
    </row>
    <row r="37" spans="4:7" ht="14.25" hidden="1" customHeight="1" x14ac:dyDescent="0.25">
      <c r="D37" s="198">
        <v>4.1000000000000002E-2</v>
      </c>
      <c r="E37" s="198">
        <f t="shared" si="2"/>
        <v>0</v>
      </c>
      <c r="F37" s="204"/>
    </row>
    <row r="38" spans="4:7" ht="14.25" hidden="1" customHeight="1" x14ac:dyDescent="0.25">
      <c r="D38" s="198">
        <v>5.2999999999999999E-2</v>
      </c>
      <c r="E38" s="198">
        <f t="shared" si="2"/>
        <v>0</v>
      </c>
      <c r="F38" s="204"/>
    </row>
    <row r="39" spans="4:7" ht="14.25" hidden="1" customHeight="1" x14ac:dyDescent="0.25">
      <c r="D39" s="198">
        <v>7.4999999999999997E-2</v>
      </c>
      <c r="E39" s="198">
        <f t="shared" si="2"/>
        <v>0</v>
      </c>
      <c r="F39" s="204"/>
    </row>
    <row r="40" spans="4:7" ht="14.25" hidden="1" customHeight="1" x14ac:dyDescent="0.25">
      <c r="D40" s="198">
        <v>9.9000000000000005E-2</v>
      </c>
      <c r="E40" s="198">
        <f t="shared" si="2"/>
        <v>0</v>
      </c>
      <c r="F40" s="204"/>
    </row>
    <row r="41" spans="4:7" ht="14.25" hidden="1" customHeight="1" x14ac:dyDescent="0.25">
      <c r="D41" s="198">
        <v>0.11899999999999999</v>
      </c>
      <c r="E41" s="198">
        <f t="shared" si="2"/>
        <v>0</v>
      </c>
      <c r="F41" s="204"/>
    </row>
    <row r="42" spans="4:7" ht="14.25" hidden="1" customHeight="1" x14ac:dyDescent="0.25">
      <c r="D42" s="198">
        <v>0.13800000000000001</v>
      </c>
      <c r="E42" s="198">
        <f t="shared" si="2"/>
        <v>0</v>
      </c>
      <c r="F42" s="204"/>
    </row>
    <row r="43" spans="4:7" ht="14.25" hidden="1" customHeight="1" x14ac:dyDescent="0.25">
      <c r="D43" s="198">
        <v>0.158</v>
      </c>
      <c r="E43" s="198">
        <f t="shared" si="2"/>
        <v>0</v>
      </c>
      <c r="F43" s="204"/>
    </row>
    <row r="44" spans="4:7" ht="14.25" hidden="1" customHeight="1" x14ac:dyDescent="0.25">
      <c r="D44" s="198">
        <v>0.17899999999999999</v>
      </c>
      <c r="E44" s="198">
        <f t="shared" si="2"/>
        <v>0</v>
      </c>
      <c r="F44" s="204"/>
    </row>
    <row r="45" spans="4:7" ht="14.25" hidden="1" customHeight="1" x14ac:dyDescent="0.25">
      <c r="D45" s="198">
        <v>0.2</v>
      </c>
      <c r="E45" s="198">
        <f t="shared" si="2"/>
        <v>0</v>
      </c>
      <c r="F45" s="204"/>
    </row>
    <row r="46" spans="4:7" ht="14.25" hidden="1" customHeight="1" x14ac:dyDescent="0.25">
      <c r="D46" s="198">
        <v>0.24</v>
      </c>
      <c r="E46" s="198">
        <f t="shared" si="2"/>
        <v>0</v>
      </c>
      <c r="F46" s="204"/>
    </row>
    <row r="47" spans="4:7" ht="14.25" hidden="1" customHeight="1" x14ac:dyDescent="0.25">
      <c r="D47" s="198">
        <v>0.28000000000000003</v>
      </c>
      <c r="E47" s="198">
        <f t="shared" si="2"/>
        <v>0</v>
      </c>
      <c r="F47" s="204"/>
    </row>
    <row r="48" spans="4:7" ht="14.25" hidden="1" customHeight="1" x14ac:dyDescent="0.25">
      <c r="D48" s="198">
        <v>0.33</v>
      </c>
      <c r="E48" s="198">
        <f t="shared" si="2"/>
        <v>0</v>
      </c>
      <c r="F48" s="204"/>
    </row>
    <row r="49" spans="4:6" ht="14.25" hidden="1" customHeight="1" x14ac:dyDescent="0.25">
      <c r="D49" s="198">
        <v>0.38</v>
      </c>
      <c r="E49" s="198">
        <f t="shared" si="2"/>
        <v>0</v>
      </c>
      <c r="F49" s="204"/>
    </row>
    <row r="50" spans="4:6" ht="14.25" hidden="1" customHeight="1" x14ac:dyDescent="0.25">
      <c r="D50" s="198">
        <v>0.43</v>
      </c>
      <c r="E50" s="198">
        <f t="shared" si="2"/>
        <v>0</v>
      </c>
      <c r="F50" s="204"/>
    </row>
    <row r="51" spans="4:6" ht="14.25" hidden="1" customHeight="1" x14ac:dyDescent="0.25">
      <c r="E51" s="198">
        <f>SUM(E31:E50)</f>
        <v>0</v>
      </c>
      <c r="F51" s="205"/>
    </row>
    <row r="52" spans="4:6" ht="15" hidden="1" customHeight="1" x14ac:dyDescent="0.25"/>
    <row r="53" spans="4:6" ht="15" hidden="1" customHeight="1" x14ac:dyDescent="0.25"/>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2</vt:i4>
      </vt:variant>
    </vt:vector>
  </HeadingPairs>
  <TitlesOfParts>
    <vt:vector size="12" baseType="lpstr">
      <vt:lpstr>MASQUE DE SAISIE </vt:lpstr>
      <vt:lpstr>TABLE DES TAUX 2026</vt:lpstr>
      <vt:lpstr>BP VERSION JANVIER 2023</vt:lpstr>
      <vt:lpstr>MATRICE RGDU 1 </vt:lpstr>
      <vt:lpstr>ENONCE </vt:lpstr>
      <vt:lpstr>BP FORMAT JUILLET 2023</vt:lpstr>
      <vt:lpstr>MATRICE RGDU 2</vt:lpstr>
      <vt:lpstr>HEURES SUPPLEMENTAIRES </vt:lpstr>
      <vt:lpstr>TAUX NEUTRE </vt:lpstr>
      <vt:lpstr>calcul HEURES SUPP</vt:lpstr>
      <vt:lpstr>TABLETAUX2026</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2025-04-08T11:31:47Z</cp:lastPrinted>
  <dcterms:created xsi:type="dcterms:W3CDTF">2019-09-02T13:46:41Z</dcterms:created>
  <dcterms:modified xsi:type="dcterms:W3CDTF">2026-01-17T15:43:56Z</dcterms:modified>
</cp:coreProperties>
</file>